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customProperty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autoCompressPictures="0"/>
  <bookViews>
    <workbookView xWindow="860" yWindow="4260" windowWidth="42820" windowHeight="20600" tabRatio="788" activeTab="2"/>
  </bookViews>
  <sheets>
    <sheet name="Aug" sheetId="32" r:id="rId1"/>
    <sheet name="Sep" sheetId="28" r:id="rId2"/>
    <sheet name="Oct" sheetId="29" r:id="rId3"/>
    <sheet name="Nov" sheetId="30" r:id="rId4"/>
    <sheet name="Dec" sheetId="31" r:id="rId5"/>
    <sheet name="Jan" sheetId="14" r:id="rId6"/>
    <sheet name="Feb" sheetId="19" r:id="rId7"/>
    <sheet name="Mar" sheetId="20" r:id="rId8"/>
    <sheet name="Apr" sheetId="22" r:id="rId9"/>
    <sheet name="May" sheetId="24" r:id="rId10"/>
    <sheet name="Jun" sheetId="25" r:id="rId11"/>
    <sheet name="Jul" sheetId="26" r:id="rId12"/>
    <sheet name="Lookup List" sheetId="15" r:id="rId13"/>
    <sheet name="Sheet1" sheetId="33" r:id="rId14"/>
    <sheet name="Sheet2" sheetId="34" r:id="rId15"/>
  </sheets>
  <definedNames>
    <definedName name="AprSun1">DATE(CalendarYear,4,1)-WEEKDAY(DATE(CalendarYear,4,1))+1</definedName>
    <definedName name="AugSun1">DATE(CalendarYear,8,1)-WEEKDAY(DATE(CalendarYear,8,1))+1</definedName>
    <definedName name="CalendarYear">Jan!$K$1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5">Jan!$A$1:$H$14</definedName>
    <definedName name="SepSun1">DATE(CalendarYear,9,1)-WEEKDAY(DATE(CalendarYear,9,1))+1</definedName>
    <definedName name="Year">YearLookup[]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30" l="1"/>
  <c r="D36" i="30"/>
  <c r="C36" i="30"/>
  <c r="B36" i="30"/>
  <c r="A36" i="30"/>
  <c r="E34" i="30"/>
  <c r="D34" i="30"/>
  <c r="C34" i="30"/>
  <c r="B34" i="30"/>
  <c r="A34" i="30"/>
  <c r="E32" i="30"/>
  <c r="D32" i="30"/>
  <c r="C32" i="30"/>
  <c r="B32" i="30"/>
  <c r="A32" i="30"/>
  <c r="E30" i="30"/>
  <c r="D30" i="30"/>
  <c r="C30" i="30"/>
  <c r="B30" i="30"/>
  <c r="A30" i="30"/>
  <c r="E28" i="30"/>
  <c r="D28" i="30"/>
  <c r="A32" i="28"/>
  <c r="E30" i="28"/>
  <c r="D30" i="28"/>
  <c r="C30" i="28"/>
  <c r="B30" i="28"/>
  <c r="A30" i="28"/>
  <c r="E28" i="28"/>
  <c r="D28" i="28"/>
  <c r="C28" i="28"/>
  <c r="B28" i="28"/>
  <c r="A28" i="28"/>
  <c r="E26" i="28"/>
  <c r="D26" i="28"/>
  <c r="C26" i="28"/>
  <c r="B26" i="28"/>
  <c r="A26" i="28"/>
  <c r="E24" i="28"/>
  <c r="D24" i="28"/>
  <c r="C24" i="28"/>
  <c r="B24" i="28"/>
  <c r="A24" i="28"/>
  <c r="B1" i="32"/>
  <c r="B1" i="26"/>
  <c r="B1" i="25"/>
  <c r="B1" i="24"/>
  <c r="B1" i="22"/>
  <c r="B1" i="20"/>
  <c r="B1" i="19"/>
  <c r="B1" i="14"/>
  <c r="C13" i="14"/>
  <c r="B13" i="14"/>
  <c r="H11" i="14"/>
  <c r="G11" i="14"/>
  <c r="F11" i="14"/>
  <c r="E11" i="14"/>
  <c r="D11" i="14"/>
  <c r="C11" i="14"/>
  <c r="B11" i="14"/>
  <c r="H9" i="14"/>
  <c r="G9" i="14"/>
  <c r="F9" i="14"/>
  <c r="E9" i="14"/>
  <c r="D9" i="14"/>
  <c r="C9" i="14"/>
  <c r="B9" i="14"/>
  <c r="H7" i="14"/>
  <c r="G7" i="14"/>
  <c r="F7" i="14"/>
  <c r="E7" i="14"/>
  <c r="D7" i="14"/>
  <c r="C7" i="14"/>
  <c r="B7" i="14"/>
  <c r="H5" i="14"/>
  <c r="G5" i="14"/>
  <c r="F5" i="14"/>
  <c r="E5" i="14"/>
  <c r="D5" i="14"/>
  <c r="C5" i="14"/>
  <c r="B5" i="14"/>
  <c r="H3" i="14"/>
  <c r="G3" i="14"/>
  <c r="F3" i="14"/>
  <c r="E3" i="14"/>
  <c r="D3" i="14"/>
  <c r="C3" i="14"/>
  <c r="B3" i="14"/>
  <c r="B1" i="31"/>
  <c r="B3" i="31"/>
  <c r="C3" i="31"/>
  <c r="D3" i="31"/>
  <c r="E3" i="31"/>
  <c r="F3" i="31"/>
  <c r="G3" i="31"/>
  <c r="H3" i="31"/>
  <c r="B5" i="31"/>
  <c r="C5" i="31"/>
  <c r="D5" i="31"/>
  <c r="E5" i="31"/>
  <c r="F5" i="31"/>
  <c r="G5" i="31"/>
  <c r="H5" i="31"/>
  <c r="B7" i="31"/>
  <c r="C7" i="31"/>
  <c r="D7" i="31"/>
  <c r="E7" i="31"/>
  <c r="F7" i="31"/>
  <c r="G7" i="31"/>
  <c r="H7" i="31"/>
  <c r="B9" i="31"/>
  <c r="C9" i="31"/>
  <c r="D9" i="31"/>
  <c r="E9" i="31"/>
  <c r="F9" i="31"/>
  <c r="G9" i="31"/>
  <c r="H9" i="31"/>
  <c r="B11" i="31"/>
  <c r="C11" i="31"/>
  <c r="D11" i="31"/>
  <c r="E11" i="31"/>
  <c r="F11" i="31"/>
  <c r="G11" i="31"/>
  <c r="H11" i="31"/>
  <c r="E11" i="32"/>
  <c r="D11" i="32"/>
  <c r="C11" i="32"/>
  <c r="B11" i="32"/>
  <c r="H9" i="32"/>
  <c r="G9" i="32"/>
  <c r="F9" i="32"/>
  <c r="E9" i="32"/>
  <c r="D9" i="32"/>
  <c r="C9" i="32"/>
  <c r="B9" i="32"/>
  <c r="H7" i="32"/>
  <c r="G7" i="32"/>
  <c r="F7" i="32"/>
  <c r="E7" i="32"/>
  <c r="D7" i="32"/>
  <c r="C7" i="32"/>
  <c r="B7" i="32"/>
  <c r="H5" i="32"/>
  <c r="G5" i="32"/>
  <c r="F5" i="32"/>
  <c r="E5" i="32"/>
  <c r="D5" i="32"/>
  <c r="C5" i="32"/>
  <c r="B5" i="32"/>
  <c r="H3" i="32"/>
  <c r="G3" i="32"/>
  <c r="F3" i="32"/>
  <c r="E3" i="32"/>
  <c r="D3" i="32"/>
  <c r="C3" i="32"/>
  <c r="B3" i="32"/>
  <c r="C11" i="30"/>
  <c r="B11" i="30"/>
  <c r="A11" i="30"/>
  <c r="E9" i="30"/>
  <c r="D9" i="30"/>
  <c r="C9" i="30"/>
  <c r="B9" i="30"/>
  <c r="A9" i="30"/>
  <c r="E7" i="30"/>
  <c r="D7" i="30"/>
  <c r="C7" i="30"/>
  <c r="B7" i="30"/>
  <c r="A7" i="30"/>
  <c r="E5" i="30"/>
  <c r="D5" i="30"/>
  <c r="C5" i="30"/>
  <c r="B5" i="30"/>
  <c r="A5" i="30"/>
  <c r="E3" i="30"/>
  <c r="D3" i="30"/>
  <c r="C3" i="30"/>
  <c r="B3" i="30"/>
  <c r="C13" i="29"/>
  <c r="B13" i="29"/>
  <c r="H11" i="29"/>
  <c r="G11" i="29"/>
  <c r="F11" i="29"/>
  <c r="E11" i="29"/>
  <c r="D11" i="29"/>
  <c r="C11" i="29"/>
  <c r="B11" i="29"/>
  <c r="H9" i="29"/>
  <c r="G9" i="29"/>
  <c r="F9" i="29"/>
  <c r="E9" i="29"/>
  <c r="D9" i="29"/>
  <c r="C9" i="29"/>
  <c r="B9" i="29"/>
  <c r="H7" i="29"/>
  <c r="G7" i="29"/>
  <c r="F7" i="29"/>
  <c r="E7" i="29"/>
  <c r="D7" i="29"/>
  <c r="C7" i="29"/>
  <c r="B7" i="29"/>
  <c r="H5" i="29"/>
  <c r="G5" i="29"/>
  <c r="F5" i="29"/>
  <c r="E5" i="29"/>
  <c r="D5" i="29"/>
  <c r="C5" i="29"/>
  <c r="B5" i="29"/>
  <c r="H3" i="29"/>
  <c r="G3" i="29"/>
  <c r="F3" i="29"/>
  <c r="E3" i="29"/>
  <c r="D3" i="29"/>
  <c r="C3" i="29"/>
  <c r="B3" i="29"/>
  <c r="B1" i="29"/>
  <c r="E11" i="28"/>
  <c r="D11" i="28"/>
  <c r="C11" i="28"/>
  <c r="B11" i="28"/>
  <c r="A11" i="28"/>
  <c r="E9" i="28"/>
  <c r="D9" i="28"/>
  <c r="C9" i="28"/>
  <c r="B9" i="28"/>
  <c r="A9" i="28"/>
  <c r="E7" i="28"/>
  <c r="D7" i="28"/>
  <c r="C7" i="28"/>
  <c r="B7" i="28"/>
  <c r="A7" i="28"/>
  <c r="E5" i="28"/>
  <c r="D5" i="28"/>
  <c r="C5" i="28"/>
  <c r="B5" i="28"/>
  <c r="A5" i="28"/>
  <c r="E3" i="28"/>
  <c r="D3" i="28"/>
  <c r="C13" i="26"/>
  <c r="B13" i="26"/>
  <c r="H11" i="26"/>
  <c r="G11" i="26"/>
  <c r="F11" i="26"/>
  <c r="E11" i="26"/>
  <c r="D11" i="26"/>
  <c r="C11" i="26"/>
  <c r="B11" i="26"/>
  <c r="H9" i="26"/>
  <c r="G9" i="26"/>
  <c r="F9" i="26"/>
  <c r="E9" i="26"/>
  <c r="D9" i="26"/>
  <c r="C9" i="26"/>
  <c r="B9" i="26"/>
  <c r="H7" i="26"/>
  <c r="G7" i="26"/>
  <c r="F7" i="26"/>
  <c r="E7" i="26"/>
  <c r="D7" i="26"/>
  <c r="C7" i="26"/>
  <c r="B7" i="26"/>
  <c r="H5" i="26"/>
  <c r="G5" i="26"/>
  <c r="F5" i="26"/>
  <c r="E5" i="26"/>
  <c r="D5" i="26"/>
  <c r="C5" i="26"/>
  <c r="B5" i="26"/>
  <c r="H3" i="26"/>
  <c r="G3" i="26"/>
  <c r="F3" i="26"/>
  <c r="E3" i="26"/>
  <c r="D3" i="26"/>
  <c r="C3" i="26"/>
  <c r="B3" i="26"/>
  <c r="B13" i="25"/>
  <c r="H11" i="25"/>
  <c r="G11" i="25"/>
  <c r="F11" i="25"/>
  <c r="E11" i="25"/>
  <c r="D11" i="25"/>
  <c r="C11" i="25"/>
  <c r="B11" i="25"/>
  <c r="H9" i="25"/>
  <c r="G9" i="25"/>
  <c r="F9" i="25"/>
  <c r="E9" i="25"/>
  <c r="D9" i="25"/>
  <c r="C9" i="25"/>
  <c r="B9" i="25"/>
  <c r="H7" i="25"/>
  <c r="G7" i="25"/>
  <c r="F7" i="25"/>
  <c r="E7" i="25"/>
  <c r="D7" i="25"/>
  <c r="C7" i="25"/>
  <c r="B7" i="25"/>
  <c r="H5" i="25"/>
  <c r="G5" i="25"/>
  <c r="F5" i="25"/>
  <c r="E5" i="25"/>
  <c r="D5" i="25"/>
  <c r="C5" i="25"/>
  <c r="B5" i="25"/>
  <c r="H3" i="25"/>
  <c r="G3" i="25"/>
  <c r="F3" i="25"/>
  <c r="E3" i="25"/>
  <c r="D3" i="25"/>
  <c r="C3" i="25"/>
  <c r="B3" i="25"/>
  <c r="C13" i="24"/>
  <c r="B13" i="24"/>
  <c r="H11" i="24"/>
  <c r="G11" i="24"/>
  <c r="F11" i="24"/>
  <c r="E11" i="24"/>
  <c r="D11" i="24"/>
  <c r="C11" i="24"/>
  <c r="B11" i="24"/>
  <c r="H9" i="24"/>
  <c r="G9" i="24"/>
  <c r="F9" i="24"/>
  <c r="E9" i="24"/>
  <c r="D9" i="24"/>
  <c r="C9" i="24"/>
  <c r="B9" i="24"/>
  <c r="H7" i="24"/>
  <c r="G7" i="24"/>
  <c r="F7" i="24"/>
  <c r="E7" i="24"/>
  <c r="D7" i="24"/>
  <c r="C7" i="24"/>
  <c r="B7" i="24"/>
  <c r="H5" i="24"/>
  <c r="G5" i="24"/>
  <c r="F5" i="24"/>
  <c r="E5" i="24"/>
  <c r="D5" i="24"/>
  <c r="C5" i="24"/>
  <c r="B5" i="24"/>
  <c r="H3" i="24"/>
  <c r="G3" i="24"/>
  <c r="F3" i="24"/>
  <c r="E3" i="24"/>
  <c r="D3" i="24"/>
  <c r="C3" i="24"/>
  <c r="B3" i="24"/>
  <c r="B13" i="22"/>
  <c r="H11" i="22"/>
  <c r="G11" i="22"/>
  <c r="F11" i="22"/>
  <c r="E11" i="22"/>
  <c r="D11" i="22"/>
  <c r="C11" i="22"/>
  <c r="B11" i="22"/>
  <c r="H9" i="22"/>
  <c r="G9" i="22"/>
  <c r="F9" i="22"/>
  <c r="E9" i="22"/>
  <c r="D9" i="22"/>
  <c r="C9" i="22"/>
  <c r="B9" i="22"/>
  <c r="H7" i="22"/>
  <c r="G7" i="22"/>
  <c r="F7" i="22"/>
  <c r="E7" i="22"/>
  <c r="D7" i="22"/>
  <c r="C7" i="22"/>
  <c r="B7" i="22"/>
  <c r="H5" i="22"/>
  <c r="G5" i="22"/>
  <c r="F5" i="22"/>
  <c r="E5" i="22"/>
  <c r="D5" i="22"/>
  <c r="C5" i="22"/>
  <c r="B5" i="22"/>
  <c r="H3" i="22"/>
  <c r="G3" i="22"/>
  <c r="F3" i="22"/>
  <c r="E3" i="22"/>
  <c r="D3" i="22"/>
  <c r="C3" i="22"/>
  <c r="B3" i="22"/>
  <c r="H11" i="19"/>
  <c r="G11" i="19"/>
  <c r="F11" i="19"/>
  <c r="E11" i="19"/>
  <c r="D11" i="19"/>
  <c r="C11" i="19"/>
  <c r="B11" i="19"/>
  <c r="H9" i="19"/>
  <c r="G9" i="19"/>
  <c r="F9" i="19"/>
  <c r="E9" i="19"/>
  <c r="D9" i="19"/>
  <c r="C9" i="19"/>
  <c r="B9" i="19"/>
  <c r="H7" i="19"/>
  <c r="G7" i="19"/>
  <c r="F7" i="19"/>
  <c r="E7" i="19"/>
  <c r="D7" i="19"/>
  <c r="C7" i="19"/>
  <c r="B7" i="19"/>
  <c r="H5" i="19"/>
  <c r="G5" i="19"/>
  <c r="F5" i="19"/>
  <c r="E5" i="19"/>
  <c r="D5" i="19"/>
  <c r="C5" i="19"/>
  <c r="B5" i="19"/>
  <c r="H3" i="19"/>
  <c r="G3" i="19"/>
  <c r="F3" i="19"/>
  <c r="E3" i="19"/>
  <c r="D3" i="19"/>
  <c r="C3" i="19"/>
  <c r="B3" i="19"/>
  <c r="C13" i="20"/>
  <c r="B13" i="20"/>
  <c r="H11" i="20"/>
  <c r="G11" i="20"/>
  <c r="F11" i="20"/>
  <c r="E11" i="20"/>
  <c r="D11" i="20"/>
  <c r="C11" i="20"/>
  <c r="B11" i="20"/>
  <c r="H9" i="20"/>
  <c r="G9" i="20"/>
  <c r="F9" i="20"/>
  <c r="E9" i="20"/>
  <c r="D9" i="20"/>
  <c r="C9" i="20"/>
  <c r="B9" i="20"/>
  <c r="H7" i="20"/>
  <c r="G7" i="20"/>
  <c r="F7" i="20"/>
  <c r="E7" i="20"/>
  <c r="D7" i="20"/>
  <c r="C7" i="20"/>
  <c r="B7" i="20"/>
  <c r="H5" i="20"/>
  <c r="G5" i="20"/>
  <c r="F5" i="20"/>
  <c r="E5" i="20"/>
  <c r="D5" i="20"/>
  <c r="C5" i="20"/>
  <c r="B5" i="20"/>
  <c r="H3" i="20"/>
  <c r="G3" i="20"/>
  <c r="F3" i="20"/>
  <c r="E3" i="20"/>
  <c r="D3" i="20"/>
  <c r="C3" i="20"/>
  <c r="B3" i="20"/>
</calcChain>
</file>

<file path=xl/comments1.xml><?xml version="1.0" encoding="utf-8"?>
<comments xmlns="http://schemas.openxmlformats.org/spreadsheetml/2006/main">
  <authors>
    <author xml:space="preserve">   </author>
  </authors>
  <commentList>
    <comment ref="C4" authorId="0">
      <text>
        <r>
          <rPr>
            <b/>
            <sz val="9"/>
            <color indexed="81"/>
            <rFont val="Geneva"/>
          </rPr>
          <t>This list populates the options that appear in the pop-up list for the year on the January sheet. To add additional years, begin typing in the cell directly beneath the last existing entry and the list will automatically expand.</t>
        </r>
      </text>
    </comment>
  </commentList>
</comments>
</file>

<file path=xl/sharedStrings.xml><?xml version="1.0" encoding="utf-8"?>
<sst xmlns="http://schemas.openxmlformats.org/spreadsheetml/2006/main" count="211" uniqueCount="52">
  <si>
    <t>Sunday</t>
  </si>
  <si>
    <t>Monday</t>
  </si>
  <si>
    <t>Tuesday</t>
  </si>
  <si>
    <t>Wednesday</t>
  </si>
  <si>
    <t>Thursday</t>
  </si>
  <si>
    <t>Friday</t>
  </si>
  <si>
    <t>Saturday</t>
  </si>
  <si>
    <t>Year</t>
  </si>
  <si>
    <t>Notes:</t>
  </si>
  <si>
    <t>Notes</t>
  </si>
  <si>
    <t>Select
Year:</t>
  </si>
  <si>
    <t>Sample text.</t>
  </si>
  <si>
    <t>Professional Development</t>
  </si>
  <si>
    <t xml:space="preserve">Notes: </t>
  </si>
  <si>
    <t>Subcommittees</t>
  </si>
  <si>
    <t>Peer Review</t>
  </si>
  <si>
    <t>Academic Program Review</t>
  </si>
  <si>
    <t>Assessment Resource Integration</t>
  </si>
  <si>
    <t>Policy, Strategy, and HLC Updates</t>
  </si>
  <si>
    <t>UAC Chairs; 2-3; Brandeis 111</t>
  </si>
  <si>
    <t>UAC; 8-9:15; Skutt 105</t>
  </si>
  <si>
    <t>Other Assessment Related Programs</t>
  </si>
  <si>
    <t>Academic Program Review dates when determined</t>
  </si>
  <si>
    <t>Professional Development workshops</t>
  </si>
  <si>
    <t>Assessment Institute Conference; Oct. 16-18, Indianapolis, IN</t>
  </si>
  <si>
    <t xml:space="preserve">Association of Catholic Colleges and Universities (ACC&amp;U), 2016 General Education and Assessment, Feb. 23-25, 2017, Phoenix, AZ. </t>
  </si>
  <si>
    <t xml:space="preserve">Association for the Assessment of Learning in Higher Education (AALHE) Conference, June 12-14, 2017, Louisville, KY.  </t>
  </si>
  <si>
    <t xml:space="preserve">TBD - CFP Association for the Assessment of Learning in Higher Education (AALHE) Conference, June 12-14, 2017, Louisville, KY.  </t>
  </si>
  <si>
    <t>CFP UAC Symposium Deadline</t>
  </si>
  <si>
    <t>Performance &amp; Learning Parity in Distance Education; Naser Alsharif; 11:30-1; Skutt 104</t>
  </si>
  <si>
    <t>Legend:</t>
  </si>
  <si>
    <t>UAC Monthly Meeting</t>
  </si>
  <si>
    <t>UAC Chairs Monthly Meeting</t>
  </si>
  <si>
    <t>Assessment Conference</t>
  </si>
  <si>
    <t>Annual Assessment Report/Peer Review</t>
  </si>
  <si>
    <t>Deadline for 2015-2016 Assessment Report submissions</t>
  </si>
  <si>
    <t xml:space="preserve">Get Real: Use of Simulation and Other Reality-based Learning and Assessment Activities; Lou Jensen; 11-12:30; Skutt 104; 1 of 2 </t>
  </si>
  <si>
    <t xml:space="preserve">Curriculum Creativity: Small Changes, Big Results; Amy Mayer; 11:30-1; Brandeis 111; 1 of 3 </t>
  </si>
  <si>
    <r>
      <rPr>
        <sz val="10.5"/>
        <color rgb="FF000090"/>
        <rFont val="Century Gothic"/>
        <scheme val="minor"/>
      </rPr>
      <t>Curriculum Creativity: Small Changes, Big Results; Amy Mayer; 11:30-1; Brandeis 111; 2 of 3</t>
    </r>
    <r>
      <rPr>
        <sz val="10.5"/>
        <color theme="1" tint="0.249977111117893"/>
        <rFont val="Century Gothic"/>
        <scheme val="minor"/>
      </rPr>
      <t xml:space="preserve"> </t>
    </r>
  </si>
  <si>
    <t>UAC Symposium      8:15-3; Skutt Ballroom</t>
  </si>
  <si>
    <r>
      <rPr>
        <sz val="10.5"/>
        <color rgb="FF000090"/>
        <rFont val="Century Gothic"/>
        <scheme val="minor"/>
      </rPr>
      <t xml:space="preserve">No More Whining about Poor Student Writing; Brian Kokensparger;        11-12:30; Skutt 104;    1 of 2           </t>
    </r>
    <r>
      <rPr>
        <sz val="10.5"/>
        <color theme="1" tint="0.249977111117893"/>
        <rFont val="Century Gothic"/>
        <scheme val="minor"/>
      </rPr>
      <t xml:space="preserve">                    </t>
    </r>
    <r>
      <rPr>
        <sz val="10.5"/>
        <color rgb="FF008000"/>
        <rFont val="Century Gothic"/>
        <scheme val="minor"/>
      </rPr>
      <t xml:space="preserve">UAC Chairs;               2-3; Brandeis 111 </t>
    </r>
    <r>
      <rPr>
        <sz val="10.5"/>
        <color theme="1" tint="0.249977111117893"/>
        <rFont val="Century Gothic"/>
        <scheme val="minor"/>
      </rPr>
      <t xml:space="preserve">    </t>
    </r>
  </si>
  <si>
    <t>No More Whining about Poor Student Writing; Brian Kokensparger;       11-12:30; Skutt 104;      2 of 2</t>
  </si>
  <si>
    <t>Assessment Institute Conference;         Oct. 16-18, Indianapolis, IN</t>
  </si>
  <si>
    <t>Assessment Institute Conference;          Oct. 16-18, Indianapolis, IN</t>
  </si>
  <si>
    <t>Classroom Assignments AS Assessments of Student Learning; 11:30-1; Skutt 104</t>
  </si>
  <si>
    <r>
      <rPr>
        <sz val="10.5"/>
        <color rgb="FFFF0000"/>
        <rFont val="Century Gothic"/>
        <scheme val="minor"/>
      </rPr>
      <t>UAC; 8-9:15; Skutt 105</t>
    </r>
    <r>
      <rPr>
        <sz val="10.5"/>
        <color theme="1" tint="0.249977111117893"/>
        <rFont val="Century Gothic"/>
        <scheme val="minor"/>
      </rPr>
      <t xml:space="preserve">                            </t>
    </r>
    <r>
      <rPr>
        <sz val="10.5"/>
        <color rgb="FF000090"/>
        <rFont val="Century Gothic"/>
        <scheme val="minor"/>
      </rPr>
      <t>Get Real: Use of Simulation and Other Reality-based Learning and Assessment Activities; Lou Jensen; 11-12:30; Skutt 104; 2 of 2</t>
    </r>
  </si>
  <si>
    <t>UAC Chairs;                  2-3; Brandeis 111</t>
  </si>
  <si>
    <r>
      <rPr>
        <sz val="10.5"/>
        <color rgb="FFFF0000"/>
        <rFont val="Century Gothic"/>
        <scheme val="minor"/>
      </rPr>
      <t xml:space="preserve">UAC; 8-9:15; Skutt 105                        </t>
    </r>
    <r>
      <rPr>
        <sz val="10.5"/>
        <color rgb="FF000090"/>
        <rFont val="Century Gothic"/>
        <scheme val="minor"/>
      </rPr>
      <t xml:space="preserve">Curriculum Creativity: Small Changes, Big Results; Amy Mayer; 11:30-1; Brandeis 111; 3 of 3 </t>
    </r>
  </si>
  <si>
    <r>
      <rPr>
        <sz val="10.5"/>
        <color rgb="FF000090"/>
        <rFont val="Century Gothic"/>
        <scheme val="minor"/>
      </rPr>
      <t xml:space="preserve">No More Whining about Poor Student Writing; Brian Kokensparger; 11-12:30; Skutt 104; 1 of 2           </t>
    </r>
    <r>
      <rPr>
        <sz val="10.5"/>
        <color theme="1" tint="0.249977111117893"/>
        <rFont val="Century Gothic"/>
        <scheme val="minor"/>
      </rPr>
      <t xml:space="preserve">                    </t>
    </r>
    <r>
      <rPr>
        <sz val="10.5"/>
        <color rgb="FF008000"/>
        <rFont val="Century Gothic"/>
        <scheme val="minor"/>
      </rPr>
      <t xml:space="preserve">UAC Chairs; 2-3;            Brandeis 111 </t>
    </r>
    <r>
      <rPr>
        <sz val="10.5"/>
        <color theme="1" tint="0.249977111117893"/>
        <rFont val="Century Gothic"/>
        <scheme val="minor"/>
      </rPr>
      <t xml:space="preserve">    </t>
    </r>
  </si>
  <si>
    <t>No More Whining about Poor Student Writing; Brian Kokensparger; 11-12:30; Skutt 104; 2 of 2</t>
  </si>
  <si>
    <t>Assessment Institute Conference;  Oct. 16-18, Indianapolis, IN</t>
  </si>
  <si>
    <t>UAC Symposium                      8:15-3; Skutt Ballroom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</si>
</sst>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37" x14ac:knownFonts="1">
    <font>
      <sz val="11"/>
      <name val="Century Gothic"/>
      <family val="2"/>
      <scheme val="minor"/>
    </font>
    <font>
      <sz val="12"/>
      <color theme="1"/>
      <name val="Century Gothic"/>
      <family val="2"/>
      <scheme val="minor"/>
    </font>
    <font>
      <sz val="8"/>
      <name val="Arial"/>
      <family val="2"/>
    </font>
    <font>
      <b/>
      <sz val="11"/>
      <color theme="0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name val="Arial"/>
      <family val="2"/>
    </font>
    <font>
      <sz val="11"/>
      <name val="Century Gothic"/>
      <family val="2"/>
    </font>
    <font>
      <sz val="11"/>
      <name val="Century Gothic"/>
      <family val="2"/>
      <scheme val="minor"/>
    </font>
    <font>
      <sz val="11"/>
      <color theme="1" tint="0.249977111117893"/>
      <name val="Arial"/>
      <family val="2"/>
    </font>
    <font>
      <sz val="11"/>
      <color theme="1" tint="0.249977111117893"/>
      <name val="Century Gothic"/>
      <family val="2"/>
      <scheme val="minor"/>
    </font>
    <font>
      <b/>
      <sz val="28"/>
      <color theme="1" tint="0.34998626667073579"/>
      <name val="Century Gothic"/>
      <family val="2"/>
      <scheme val="minor"/>
    </font>
    <font>
      <b/>
      <sz val="14"/>
      <color theme="0"/>
      <name val="Century Gothic"/>
      <family val="2"/>
      <scheme val="minor"/>
    </font>
    <font>
      <sz val="14"/>
      <color theme="1" tint="0.34998626667073579"/>
      <name val="Century Gothic"/>
      <family val="2"/>
      <scheme val="minor"/>
    </font>
    <font>
      <sz val="10"/>
      <color theme="1" tint="0.249977111117893"/>
      <name val="Century Gothic"/>
      <family val="2"/>
      <scheme val="minor"/>
    </font>
    <font>
      <sz val="14"/>
      <color theme="1" tint="0.249977111117893"/>
      <name val="Century Gothic"/>
      <family val="2"/>
      <scheme val="minor"/>
    </font>
    <font>
      <b/>
      <sz val="9"/>
      <color indexed="81"/>
      <name val="Geneva"/>
    </font>
    <font>
      <b/>
      <u/>
      <sz val="11"/>
      <name val="Arial"/>
    </font>
    <font>
      <u/>
      <sz val="11"/>
      <color theme="10"/>
      <name val="Century Gothic"/>
      <family val="2"/>
      <scheme val="minor"/>
    </font>
    <font>
      <u/>
      <sz val="11"/>
      <color theme="11"/>
      <name val="Century Gothic"/>
      <family val="2"/>
      <scheme val="minor"/>
    </font>
    <font>
      <sz val="9.5"/>
      <color theme="1" tint="0.249977111117893"/>
      <name val="Century Gothic"/>
      <scheme val="minor"/>
    </font>
    <font>
      <sz val="11"/>
      <color rgb="FFFF0000"/>
      <name val="Arial"/>
    </font>
    <font>
      <sz val="11"/>
      <color rgb="FF008000"/>
      <name val="Arial"/>
    </font>
    <font>
      <sz val="11"/>
      <color theme="8" tint="-0.249977111117893"/>
      <name val="Arial"/>
    </font>
    <font>
      <sz val="11"/>
      <color theme="5" tint="-0.249977111117893"/>
      <name val="Arial"/>
    </font>
    <font>
      <sz val="11"/>
      <color rgb="FF000090"/>
      <name val="Arial"/>
    </font>
    <font>
      <sz val="9.5"/>
      <color rgb="FF000090"/>
      <name val="Century Gothic"/>
      <scheme val="minor"/>
    </font>
    <font>
      <sz val="9.5"/>
      <color rgb="FFFF0000"/>
      <name val="Century Gothic"/>
      <scheme val="minor"/>
    </font>
    <font>
      <b/>
      <sz val="9.5"/>
      <color theme="0"/>
      <name val="Century Gothic"/>
      <scheme val="minor"/>
    </font>
    <font>
      <sz val="9.5"/>
      <color theme="0"/>
      <name val="Century Gothic"/>
      <scheme val="minor"/>
    </font>
    <font>
      <sz val="10.5"/>
      <name val="Arial"/>
      <family val="2"/>
    </font>
    <font>
      <sz val="10.5"/>
      <color theme="1" tint="0.249977111117893"/>
      <name val="Arial"/>
      <family val="2"/>
    </font>
    <font>
      <sz val="10.5"/>
      <color theme="1" tint="0.249977111117893"/>
      <name val="Century Gothic"/>
      <scheme val="minor"/>
    </font>
    <font>
      <sz val="10.5"/>
      <color rgb="FF000090"/>
      <name val="Century Gothic"/>
      <scheme val="minor"/>
    </font>
    <font>
      <sz val="10.5"/>
      <color rgb="FFFF0000"/>
      <name val="Century Gothic"/>
      <scheme val="minor"/>
    </font>
    <font>
      <b/>
      <sz val="10.5"/>
      <color theme="0"/>
      <name val="Century Gothic"/>
      <scheme val="minor"/>
    </font>
    <font>
      <sz val="10.5"/>
      <color rgb="FF008000"/>
      <name val="Century Gothic"/>
      <scheme val="minor"/>
    </font>
    <font>
      <sz val="10.5"/>
      <color theme="0"/>
      <name val="Century Gothic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FF"/>
        <bgColor rgb="FF000000"/>
      </patternFill>
    </fill>
  </fills>
  <borders count="4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/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0.39994506668294322"/>
      </right>
      <top style="medium">
        <color theme="4" tint="-0.2499465926084170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-0.24994659260841701"/>
      </top>
      <bottom/>
      <diagonal/>
    </border>
    <border>
      <left style="thin">
        <color theme="4" tint="0.39994506668294322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0.39994506668294322"/>
      </right>
      <top style="medium">
        <color theme="4" tint="-0.2499465926084170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-0.24994659260841701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 style="medium">
        <color theme="4" tint="-0.24994659260841701"/>
      </top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medium">
        <color theme="4" tint="-0.24994659260841701"/>
      </bottom>
      <diagonal/>
    </border>
    <border>
      <left/>
      <right/>
      <top style="thin">
        <color theme="4" tint="0.39994506668294322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0.39994506668294322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medium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0.39994506668294322"/>
      </top>
      <bottom/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thin">
        <color auto="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auto="1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auto="1"/>
      </bottom>
      <diagonal/>
    </border>
    <border>
      <left/>
      <right/>
      <top style="thin">
        <color theme="4" tint="0.39994506668294322"/>
      </top>
      <bottom style="thin">
        <color auto="1"/>
      </bottom>
      <diagonal/>
    </border>
    <border>
      <left/>
      <right style="medium">
        <color theme="4" tint="-0.24994659260841701"/>
      </right>
      <top style="thin">
        <color theme="4" tint="0.39994506668294322"/>
      </top>
      <bottom style="thin">
        <color auto="1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thin">
        <color auto="1"/>
      </bottom>
      <diagonal/>
    </border>
    <border>
      <left style="thin">
        <color auto="1"/>
      </left>
      <right style="thin">
        <color theme="4" tint="0.39994506668294322"/>
      </right>
      <top style="thin">
        <color auto="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auto="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auto="1"/>
      </right>
      <top style="thin">
        <color auto="1"/>
      </top>
      <bottom style="thin">
        <color theme="4" tint="0.39994506668294322"/>
      </bottom>
      <diagonal/>
    </border>
    <border>
      <left style="thin">
        <color auto="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auto="1"/>
      </right>
      <top/>
      <bottom style="thin">
        <color theme="4" tint="0.39994506668294322"/>
      </bottom>
      <diagonal/>
    </border>
    <border>
      <left style="thin">
        <color auto="1"/>
      </left>
      <right style="thin">
        <color theme="4" tint="0.39994506668294322"/>
      </right>
      <top style="thin">
        <color theme="4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4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auto="1"/>
      </right>
      <top style="thin">
        <color theme="4" tint="0.39994506668294322"/>
      </top>
      <bottom style="thin">
        <color auto="1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auto="1"/>
      </left>
      <right/>
      <top/>
      <bottom/>
      <diagonal/>
    </border>
  </borders>
  <cellStyleXfs count="104">
    <xf numFmtId="0" fontId="0" fillId="0" borderId="0"/>
    <xf numFmtId="0" fontId="10" fillId="0" borderId="0" applyNumberFormat="0" applyFill="0" applyAlignment="0" applyProtection="0"/>
    <xf numFmtId="0" fontId="3" fillId="4" borderId="1" applyNumberFormat="0" applyAlignment="0" applyProtection="0"/>
    <xf numFmtId="0" fontId="12" fillId="5" borderId="0" applyNumberFormat="0" applyBorder="0" applyAlignment="0" applyProtection="0"/>
    <xf numFmtId="0" fontId="11" fillId="6" borderId="3" applyNumberFormat="0" applyProtection="0">
      <alignment vertical="center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3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5" fillId="0" borderId="0" xfId="0" applyFont="1"/>
    <xf numFmtId="165" fontId="9" fillId="0" borderId="1" xfId="0" applyNumberFormat="1" applyFont="1" applyFill="1" applyBorder="1" applyAlignment="1">
      <alignment horizontal="left" vertical="center" wrapText="1" indent="1"/>
    </xf>
    <xf numFmtId="165" fontId="9" fillId="2" borderId="1" xfId="0" applyNumberFormat="1" applyFont="1" applyFill="1" applyBorder="1" applyAlignment="1">
      <alignment horizontal="left" vertical="center" wrapText="1" indent="1"/>
    </xf>
    <xf numFmtId="0" fontId="12" fillId="5" borderId="4" xfId="3" applyBorder="1" applyAlignment="1">
      <alignment horizontal="right" vertical="center" wrapText="1"/>
    </xf>
    <xf numFmtId="0" fontId="12" fillId="5" borderId="5" xfId="3" applyBorder="1" applyAlignment="1">
      <alignment vertical="center"/>
    </xf>
    <xf numFmtId="165" fontId="8" fillId="0" borderId="6" xfId="0" applyNumberFormat="1" applyFont="1" applyBorder="1" applyAlignment="1">
      <alignment horizontal="left" vertical="center" indent="1"/>
    </xf>
    <xf numFmtId="165" fontId="9" fillId="0" borderId="7" xfId="0" applyNumberFormat="1" applyFont="1" applyFill="1" applyBorder="1" applyAlignment="1">
      <alignment horizontal="left" vertical="center" wrapText="1" indent="1"/>
    </xf>
    <xf numFmtId="165" fontId="9" fillId="0" borderId="6" xfId="0" applyNumberFormat="1" applyFont="1" applyFill="1" applyBorder="1" applyAlignment="1">
      <alignment horizontal="left" vertical="center" wrapText="1" indent="1"/>
    </xf>
    <xf numFmtId="165" fontId="9" fillId="2" borderId="6" xfId="0" applyNumberFormat="1" applyFont="1" applyFill="1" applyBorder="1" applyAlignment="1">
      <alignment horizontal="left" vertical="center" wrapText="1" indent="1"/>
    </xf>
    <xf numFmtId="165" fontId="9" fillId="2" borderId="7" xfId="0" applyNumberFormat="1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 indent="1"/>
    </xf>
    <xf numFmtId="0" fontId="3" fillId="4" borderId="11" xfId="2" applyBorder="1" applyAlignment="1">
      <alignment horizontal="center" vertical="center"/>
    </xf>
    <xf numFmtId="0" fontId="3" fillId="4" borderId="12" xfId="2" applyBorder="1" applyAlignment="1">
      <alignment horizontal="center" vertical="center"/>
    </xf>
    <xf numFmtId="0" fontId="3" fillId="4" borderId="13" xfId="2" applyBorder="1" applyAlignment="1">
      <alignment horizontal="center" vertical="center"/>
    </xf>
    <xf numFmtId="0" fontId="3" fillId="4" borderId="14" xfId="2" applyBorder="1" applyAlignment="1">
      <alignment horizontal="center" vertical="center"/>
    </xf>
    <xf numFmtId="0" fontId="3" fillId="4" borderId="15" xfId="2" applyBorder="1" applyAlignment="1">
      <alignment horizontal="center" vertical="center"/>
    </xf>
    <xf numFmtId="0" fontId="3" fillId="4" borderId="16" xfId="2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7" fillId="0" borderId="0" xfId="0" applyFont="1" applyFill="1"/>
    <xf numFmtId="165" fontId="9" fillId="2" borderId="2" xfId="0" applyNumberFormat="1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wrapText="1" indent="1"/>
    </xf>
    <xf numFmtId="165" fontId="9" fillId="2" borderId="17" xfId="0" applyNumberFormat="1" applyFont="1" applyFill="1" applyBorder="1" applyAlignment="1">
      <alignment horizontal="left" vertical="center" wrapText="1" indent="1"/>
    </xf>
    <xf numFmtId="0" fontId="13" fillId="5" borderId="6" xfId="3" applyFont="1" applyBorder="1" applyAlignment="1">
      <alignment horizontal="left" vertical="center" wrapText="1" indent="1"/>
    </xf>
    <xf numFmtId="0" fontId="13" fillId="5" borderId="7" xfId="3" applyFont="1" applyBorder="1" applyAlignment="1">
      <alignment horizontal="left" vertical="center" wrapText="1" indent="1"/>
    </xf>
    <xf numFmtId="0" fontId="13" fillId="5" borderId="9" xfId="3" applyFont="1" applyBorder="1" applyAlignment="1">
      <alignment horizontal="left" vertical="center" wrapText="1" indent="1"/>
    </xf>
    <xf numFmtId="0" fontId="14" fillId="5" borderId="9" xfId="3" applyFont="1" applyBorder="1" applyAlignment="1">
      <alignment horizontal="left" vertical="center" wrapText="1" indent="1"/>
    </xf>
    <xf numFmtId="0" fontId="13" fillId="3" borderId="6" xfId="0" applyFont="1" applyFill="1" applyBorder="1" applyAlignment="1">
      <alignment horizontal="left" vertical="center" wrapText="1" indent="1"/>
    </xf>
    <xf numFmtId="0" fontId="16" fillId="0" borderId="0" xfId="0" applyFont="1"/>
    <xf numFmtId="0" fontId="13" fillId="5" borderId="27" xfId="3" applyFont="1" applyBorder="1" applyAlignment="1">
      <alignment horizontal="left" vertical="center" wrapText="1" indent="1"/>
    </xf>
    <xf numFmtId="0" fontId="13" fillId="0" borderId="28" xfId="0" applyFont="1" applyFill="1" applyBorder="1" applyAlignment="1">
      <alignment horizontal="left" vertical="center" wrapText="1" indent="1"/>
    </xf>
    <xf numFmtId="0" fontId="13" fillId="2" borderId="28" xfId="0" applyFont="1" applyFill="1" applyBorder="1" applyAlignment="1">
      <alignment horizontal="left" vertical="center" wrapText="1" indent="1"/>
    </xf>
    <xf numFmtId="0" fontId="5" fillId="8" borderId="0" xfId="0" applyFont="1" applyFill="1"/>
    <xf numFmtId="0" fontId="3" fillId="4" borderId="33" xfId="2" applyBorder="1" applyAlignment="1">
      <alignment horizontal="center" vertical="center"/>
    </xf>
    <xf numFmtId="0" fontId="3" fillId="4" borderId="34" xfId="2" applyBorder="1" applyAlignment="1">
      <alignment horizontal="center" vertical="center"/>
    </xf>
    <xf numFmtId="0" fontId="3" fillId="4" borderId="35" xfId="2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 indent="1"/>
    </xf>
    <xf numFmtId="0" fontId="19" fillId="2" borderId="28" xfId="0" applyFont="1" applyFill="1" applyBorder="1" applyAlignment="1">
      <alignment horizontal="left" vertical="center" wrapText="1" inden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19" fillId="5" borderId="6" xfId="3" applyFont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left" vertical="center" wrapText="1" indent="1"/>
    </xf>
    <xf numFmtId="0" fontId="19" fillId="5" borderId="7" xfId="3" applyFont="1" applyBorder="1" applyAlignment="1">
      <alignment horizontal="left" vertical="center" wrapText="1" indent="1"/>
    </xf>
    <xf numFmtId="165" fontId="19" fillId="0" borderId="6" xfId="0" applyNumberFormat="1" applyFont="1" applyFill="1" applyBorder="1" applyAlignment="1">
      <alignment horizontal="left" vertical="center" wrapText="1" indent="1"/>
    </xf>
    <xf numFmtId="165" fontId="19" fillId="0" borderId="1" xfId="0" applyNumberFormat="1" applyFont="1" applyFill="1" applyBorder="1" applyAlignment="1">
      <alignment horizontal="left" vertical="center" wrapText="1" indent="1"/>
    </xf>
    <xf numFmtId="165" fontId="19" fillId="0" borderId="7" xfId="0" applyNumberFormat="1" applyFont="1" applyFill="1" applyBorder="1" applyAlignment="1">
      <alignment horizontal="left" vertical="center" wrapText="1" indent="1"/>
    </xf>
    <xf numFmtId="0" fontId="25" fillId="0" borderId="1" xfId="0" applyFont="1" applyFill="1" applyBorder="1" applyAlignment="1">
      <alignment horizontal="left" vertical="center" wrapText="1" indent="1"/>
    </xf>
    <xf numFmtId="0" fontId="26" fillId="2" borderId="1" xfId="0" applyFont="1" applyFill="1" applyBorder="1" applyAlignment="1">
      <alignment horizontal="left" vertical="center" wrapText="1" indent="1"/>
    </xf>
    <xf numFmtId="165" fontId="19" fillId="2" borderId="6" xfId="0" applyNumberFormat="1" applyFont="1" applyFill="1" applyBorder="1" applyAlignment="1">
      <alignment horizontal="left" vertical="center" wrapText="1" indent="1"/>
    </xf>
    <xf numFmtId="165" fontId="19" fillId="2" borderId="1" xfId="0" applyNumberFormat="1" applyFont="1" applyFill="1" applyBorder="1" applyAlignment="1">
      <alignment horizontal="left" vertical="center" wrapText="1" indent="1"/>
    </xf>
    <xf numFmtId="165" fontId="19" fillId="2" borderId="7" xfId="0" applyNumberFormat="1" applyFont="1" applyFill="1" applyBorder="1" applyAlignment="1">
      <alignment horizontal="left" vertical="center" wrapText="1" indent="1"/>
    </xf>
    <xf numFmtId="0" fontId="25" fillId="2" borderId="1" xfId="0" applyFont="1" applyFill="1" applyBorder="1" applyAlignment="1">
      <alignment horizontal="left" vertical="center" wrapText="1" indent="1"/>
    </xf>
    <xf numFmtId="165" fontId="27" fillId="4" borderId="22" xfId="2" applyNumberFormat="1" applyFont="1" applyBorder="1" applyAlignment="1">
      <alignment vertical="center" wrapText="1"/>
    </xf>
    <xf numFmtId="0" fontId="19" fillId="5" borderId="27" xfId="3" applyFont="1" applyBorder="1" applyAlignment="1">
      <alignment horizontal="left" vertical="center" wrapText="1" indent="1"/>
    </xf>
    <xf numFmtId="0" fontId="19" fillId="0" borderId="28" xfId="0" applyFont="1" applyFill="1" applyBorder="1" applyAlignment="1">
      <alignment horizontal="left" vertical="center" wrapText="1" indent="1"/>
    </xf>
    <xf numFmtId="0" fontId="25" fillId="2" borderId="28" xfId="0" applyFont="1" applyFill="1" applyBorder="1" applyAlignment="1">
      <alignment horizontal="left" vertical="center" wrapText="1" indent="1"/>
    </xf>
    <xf numFmtId="0" fontId="28" fillId="4" borderId="29" xfId="2" applyFont="1" applyBorder="1" applyAlignment="1">
      <alignment vertical="center" wrapText="1"/>
    </xf>
    <xf numFmtId="0" fontId="29" fillId="2" borderId="0" xfId="0" applyFont="1" applyFill="1"/>
    <xf numFmtId="165" fontId="30" fillId="0" borderId="36" xfId="0" applyNumberFormat="1" applyFont="1" applyBorder="1" applyAlignment="1">
      <alignment horizontal="left" vertical="center" indent="1"/>
    </xf>
    <xf numFmtId="165" fontId="31" fillId="0" borderId="1" xfId="0" applyNumberFormat="1" applyFont="1" applyFill="1" applyBorder="1" applyAlignment="1">
      <alignment horizontal="left" vertical="center" wrapText="1" indent="1"/>
    </xf>
    <xf numFmtId="165" fontId="31" fillId="0" borderId="37" xfId="0" applyNumberFormat="1" applyFont="1" applyFill="1" applyBorder="1" applyAlignment="1">
      <alignment horizontal="left" vertical="center" wrapText="1" indent="1"/>
    </xf>
    <xf numFmtId="0" fontId="29" fillId="0" borderId="0" xfId="0" applyFont="1"/>
    <xf numFmtId="0" fontId="31" fillId="5" borderId="36" xfId="3" applyFont="1" applyBorder="1" applyAlignment="1">
      <alignment horizontal="left" vertical="center" wrapText="1" indent="1"/>
    </xf>
    <xf numFmtId="0" fontId="31" fillId="0" borderId="1" xfId="0" applyFont="1" applyFill="1" applyBorder="1" applyAlignment="1">
      <alignment horizontal="left" vertical="center" wrapText="1" indent="1"/>
    </xf>
    <xf numFmtId="0" fontId="32" fillId="2" borderId="1" xfId="0" applyFont="1" applyFill="1" applyBorder="1" applyAlignment="1">
      <alignment horizontal="left" vertical="center" wrapText="1" indent="1"/>
    </xf>
    <xf numFmtId="0" fontId="31" fillId="2" borderId="1" xfId="0" applyFont="1" applyFill="1" applyBorder="1" applyAlignment="1">
      <alignment horizontal="left" vertical="center" wrapText="1" indent="1"/>
    </xf>
    <xf numFmtId="0" fontId="31" fillId="5" borderId="37" xfId="3" applyFont="1" applyBorder="1" applyAlignment="1">
      <alignment horizontal="left" vertical="center" wrapText="1" indent="1"/>
    </xf>
    <xf numFmtId="165" fontId="31" fillId="0" borderId="36" xfId="0" applyNumberFormat="1" applyFont="1" applyFill="1" applyBorder="1" applyAlignment="1">
      <alignment horizontal="left" vertical="center" wrapText="1" indent="1"/>
    </xf>
    <xf numFmtId="165" fontId="31" fillId="2" borderId="36" xfId="0" applyNumberFormat="1" applyFont="1" applyFill="1" applyBorder="1" applyAlignment="1">
      <alignment horizontal="left" vertical="center" wrapText="1" indent="1"/>
    </xf>
    <xf numFmtId="165" fontId="31" fillId="2" borderId="1" xfId="0" applyNumberFormat="1" applyFont="1" applyFill="1" applyBorder="1" applyAlignment="1">
      <alignment horizontal="left" vertical="center" wrapText="1" indent="1"/>
    </xf>
    <xf numFmtId="165" fontId="31" fillId="2" borderId="37" xfId="0" applyNumberFormat="1" applyFont="1" applyFill="1" applyBorder="1" applyAlignment="1">
      <alignment horizontal="left" vertical="center" wrapText="1" indent="1"/>
    </xf>
    <xf numFmtId="0" fontId="31" fillId="5" borderId="40" xfId="3" applyFont="1" applyBorder="1" applyAlignment="1">
      <alignment horizontal="left" vertical="center" wrapText="1" indent="1"/>
    </xf>
    <xf numFmtId="0" fontId="31" fillId="0" borderId="28" xfId="0" applyFont="1" applyFill="1" applyBorder="1" applyAlignment="1">
      <alignment horizontal="left" vertical="center" wrapText="1" indent="1"/>
    </xf>
    <xf numFmtId="0" fontId="35" fillId="2" borderId="28" xfId="0" applyFont="1" applyFill="1" applyBorder="1" applyAlignment="1">
      <alignment horizontal="left" vertical="center" wrapText="1" indent="1"/>
    </xf>
    <xf numFmtId="0" fontId="31" fillId="2" borderId="28" xfId="0" applyFont="1" applyFill="1" applyBorder="1" applyAlignment="1">
      <alignment horizontal="left" vertical="center" wrapText="1" indent="1"/>
    </xf>
    <xf numFmtId="0" fontId="33" fillId="2" borderId="1" xfId="0" applyFont="1" applyFill="1" applyBorder="1" applyAlignment="1">
      <alignment horizontal="left" vertical="center" wrapText="1" indent="1"/>
    </xf>
    <xf numFmtId="165" fontId="31" fillId="2" borderId="38" xfId="0" applyNumberFormat="1" applyFont="1" applyFill="1" applyBorder="1" applyAlignment="1">
      <alignment horizontal="left" vertical="center" wrapText="1" indent="1"/>
    </xf>
    <xf numFmtId="165" fontId="31" fillId="2" borderId="2" xfId="0" applyNumberFormat="1" applyFont="1" applyFill="1" applyBorder="1" applyAlignment="1">
      <alignment horizontal="left" vertical="center" wrapText="1" indent="1"/>
    </xf>
    <xf numFmtId="165" fontId="30" fillId="0" borderId="6" xfId="0" applyNumberFormat="1" applyFont="1" applyBorder="1" applyAlignment="1">
      <alignment horizontal="left" vertical="center" indent="1"/>
    </xf>
    <xf numFmtId="165" fontId="31" fillId="0" borderId="7" xfId="0" applyNumberFormat="1" applyFont="1" applyFill="1" applyBorder="1" applyAlignment="1">
      <alignment horizontal="left" vertical="center" wrapText="1" indent="1"/>
    </xf>
    <xf numFmtId="0" fontId="31" fillId="5" borderId="6" xfId="3" applyFont="1" applyBorder="1" applyAlignment="1">
      <alignment horizontal="left" vertical="center" wrapText="1" indent="1"/>
    </xf>
    <xf numFmtId="0" fontId="31" fillId="5" borderId="7" xfId="3" applyFont="1" applyBorder="1" applyAlignment="1">
      <alignment horizontal="left" vertical="center" wrapText="1" indent="1"/>
    </xf>
    <xf numFmtId="165" fontId="31" fillId="0" borderId="6" xfId="0" applyNumberFormat="1" applyFont="1" applyFill="1" applyBorder="1" applyAlignment="1">
      <alignment horizontal="left" vertical="center" wrapText="1" indent="1"/>
    </xf>
    <xf numFmtId="165" fontId="31" fillId="2" borderId="6" xfId="0" applyNumberFormat="1" applyFont="1" applyFill="1" applyBorder="1" applyAlignment="1">
      <alignment horizontal="left" vertical="center" wrapText="1" indent="1"/>
    </xf>
    <xf numFmtId="165" fontId="31" fillId="2" borderId="7" xfId="0" applyNumberFormat="1" applyFont="1" applyFill="1" applyBorder="1" applyAlignment="1">
      <alignment horizontal="left" vertical="center" wrapText="1" indent="1"/>
    </xf>
    <xf numFmtId="165" fontId="34" fillId="4" borderId="22" xfId="2" applyNumberFormat="1" applyFont="1" applyBorder="1" applyAlignment="1">
      <alignment vertical="center" wrapText="1"/>
    </xf>
    <xf numFmtId="0" fontId="31" fillId="5" borderId="27" xfId="3" applyFont="1" applyBorder="1" applyAlignment="1">
      <alignment horizontal="left" vertical="center" wrapText="1" indent="1"/>
    </xf>
    <xf numFmtId="0" fontId="32" fillId="2" borderId="28" xfId="0" applyFont="1" applyFill="1" applyBorder="1" applyAlignment="1">
      <alignment horizontal="left" vertical="center" wrapText="1" indent="1"/>
    </xf>
    <xf numFmtId="0" fontId="36" fillId="4" borderId="29" xfId="2" applyFont="1" applyBorder="1" applyAlignment="1">
      <alignment vertical="center" wrapText="1"/>
    </xf>
    <xf numFmtId="0" fontId="31" fillId="5" borderId="32" xfId="3" applyFont="1" applyBorder="1" applyAlignment="1">
      <alignment horizontal="left" vertical="center" wrapText="1" indent="1"/>
    </xf>
    <xf numFmtId="165" fontId="1" fillId="7" borderId="1" xfId="19" applyNumberFormat="1" applyBorder="1" applyAlignment="1">
      <alignment horizontal="left" vertical="center" wrapText="1" indent="1"/>
    </xf>
    <xf numFmtId="165" fontId="1" fillId="7" borderId="36" xfId="19" applyNumberFormat="1" applyBorder="1" applyAlignment="1">
      <alignment horizontal="left" vertical="center" wrapText="1" indent="1"/>
    </xf>
    <xf numFmtId="165" fontId="1" fillId="7" borderId="37" xfId="19" applyNumberFormat="1" applyBorder="1" applyAlignment="1">
      <alignment horizontal="left" vertical="center" wrapText="1" indent="1"/>
    </xf>
    <xf numFmtId="0" fontId="31" fillId="0" borderId="36" xfId="0" applyFont="1" applyFill="1" applyBorder="1" applyAlignment="1">
      <alignment horizontal="left" vertical="center" wrapText="1" indent="1"/>
    </xf>
    <xf numFmtId="0" fontId="31" fillId="2" borderId="37" xfId="0" applyFont="1" applyFill="1" applyBorder="1" applyAlignment="1">
      <alignment horizontal="left" vertical="center" wrapText="1" indent="1"/>
    </xf>
    <xf numFmtId="0" fontId="32" fillId="0" borderId="36" xfId="0" applyFont="1" applyFill="1" applyBorder="1" applyAlignment="1">
      <alignment horizontal="left" vertical="center" wrapText="1" indent="1"/>
    </xf>
    <xf numFmtId="0" fontId="31" fillId="0" borderId="40" xfId="0" applyFont="1" applyFill="1" applyBorder="1" applyAlignment="1">
      <alignment horizontal="left" vertical="center" wrapText="1" indent="1"/>
    </xf>
    <xf numFmtId="0" fontId="31" fillId="0" borderId="43" xfId="0" applyFont="1" applyFill="1" applyBorder="1" applyAlignment="1">
      <alignment horizontal="left" vertical="center" wrapText="1" indent="1"/>
    </xf>
    <xf numFmtId="0" fontId="31" fillId="0" borderId="37" xfId="0" applyFont="1" applyFill="1" applyBorder="1" applyAlignment="1">
      <alignment horizontal="left" vertical="center" wrapText="1" indent="1"/>
    </xf>
    <xf numFmtId="0" fontId="35" fillId="2" borderId="40" xfId="0" applyFont="1" applyFill="1" applyBorder="1" applyAlignment="1">
      <alignment horizontal="left" vertical="center" wrapText="1" indent="1"/>
    </xf>
    <xf numFmtId="165" fontId="1" fillId="7" borderId="38" xfId="19" applyNumberFormat="1" applyBorder="1" applyAlignment="1">
      <alignment horizontal="left" vertical="center" wrapText="1" indent="1"/>
    </xf>
    <xf numFmtId="165" fontId="34" fillId="4" borderId="42" xfId="2" applyNumberFormat="1" applyFont="1" applyBorder="1" applyAlignment="1">
      <alignment vertical="center" wrapText="1"/>
    </xf>
    <xf numFmtId="0" fontId="36" fillId="4" borderId="41" xfId="2" applyFont="1" applyBorder="1" applyAlignment="1">
      <alignment vertical="center" wrapText="1"/>
    </xf>
    <xf numFmtId="0" fontId="31" fillId="2" borderId="44" xfId="0" applyFont="1" applyFill="1" applyBorder="1" applyAlignment="1">
      <alignment horizontal="left" vertical="center" wrapText="1" indent="1"/>
    </xf>
    <xf numFmtId="165" fontId="34" fillId="4" borderId="45" xfId="2" applyNumberFormat="1" applyFont="1" applyBorder="1" applyAlignment="1">
      <alignment vertical="center" wrapText="1"/>
    </xf>
    <xf numFmtId="165" fontId="1" fillId="7" borderId="2" xfId="19" applyNumberFormat="1" applyBorder="1" applyAlignment="1">
      <alignment horizontal="left" vertical="center" wrapText="1" indent="1"/>
    </xf>
    <xf numFmtId="0" fontId="36" fillId="4" borderId="0" xfId="2" applyFont="1" applyBorder="1" applyAlignment="1">
      <alignment vertical="center" wrapText="1"/>
    </xf>
    <xf numFmtId="0" fontId="36" fillId="4" borderId="47" xfId="2" applyFont="1" applyBorder="1" applyAlignment="1">
      <alignment vertical="center" wrapText="1"/>
    </xf>
    <xf numFmtId="0" fontId="32" fillId="2" borderId="44" xfId="0" applyFont="1" applyFill="1" applyBorder="1" applyAlignment="1">
      <alignment horizontal="left" vertical="center" wrapText="1" indent="1"/>
    </xf>
    <xf numFmtId="164" fontId="10" fillId="2" borderId="0" xfId="1" applyNumberFormat="1" applyFill="1" applyAlignment="1">
      <alignment horizontal="center" vertical="center"/>
    </xf>
    <xf numFmtId="165" fontId="3" fillId="4" borderId="22" xfId="2" applyNumberFormat="1" applyBorder="1" applyAlignment="1">
      <alignment horizontal="left" vertical="center" wrapText="1"/>
    </xf>
    <xf numFmtId="165" fontId="3" fillId="4" borderId="23" xfId="2" applyNumberFormat="1" applyBorder="1" applyAlignment="1">
      <alignment horizontal="left" vertical="center" wrapText="1"/>
    </xf>
    <xf numFmtId="165" fontId="3" fillId="4" borderId="24" xfId="2" applyNumberFormat="1" applyBorder="1" applyAlignment="1">
      <alignment horizontal="left" vertical="center" wrapText="1"/>
    </xf>
    <xf numFmtId="0" fontId="4" fillId="4" borderId="29" xfId="2" applyFont="1" applyBorder="1" applyAlignment="1">
      <alignment horizontal="center" vertical="center" wrapText="1"/>
    </xf>
    <xf numFmtId="0" fontId="4" fillId="4" borderId="30" xfId="2" applyFont="1" applyBorder="1" applyAlignment="1">
      <alignment horizontal="center" vertical="center" wrapText="1"/>
    </xf>
    <xf numFmtId="0" fontId="4" fillId="4" borderId="31" xfId="2" applyFont="1" applyBorder="1" applyAlignment="1">
      <alignment horizontal="center" vertical="center" wrapText="1"/>
    </xf>
    <xf numFmtId="165" fontId="34" fillId="4" borderId="2" xfId="2" applyNumberFormat="1" applyFont="1" applyBorder="1" applyAlignment="1">
      <alignment horizontal="left" vertical="center" wrapText="1"/>
    </xf>
    <xf numFmtId="165" fontId="34" fillId="4" borderId="39" xfId="2" applyNumberFormat="1" applyFont="1" applyBorder="1" applyAlignment="1">
      <alignment horizontal="left" vertical="center" wrapText="1"/>
    </xf>
    <xf numFmtId="0" fontId="36" fillId="4" borderId="29" xfId="2" applyFont="1" applyBorder="1" applyAlignment="1">
      <alignment horizontal="left" vertical="center" wrapText="1"/>
    </xf>
    <xf numFmtId="0" fontId="36" fillId="4" borderId="30" xfId="2" applyFont="1" applyBorder="1" applyAlignment="1">
      <alignment horizontal="left" vertical="center" wrapText="1"/>
    </xf>
    <xf numFmtId="0" fontId="36" fillId="4" borderId="41" xfId="2" applyFont="1" applyBorder="1" applyAlignment="1">
      <alignment horizontal="left" vertical="center" wrapText="1"/>
    </xf>
    <xf numFmtId="165" fontId="34" fillId="4" borderId="45" xfId="2" applyNumberFormat="1" applyFont="1" applyBorder="1" applyAlignment="1">
      <alignment horizontal="left" vertical="center" wrapText="1"/>
    </xf>
    <xf numFmtId="165" fontId="34" fillId="4" borderId="26" xfId="2" applyNumberFormat="1" applyFont="1" applyBorder="1" applyAlignment="1">
      <alignment horizontal="left" vertical="center" wrapText="1"/>
    </xf>
    <xf numFmtId="165" fontId="34" fillId="4" borderId="46" xfId="2" applyNumberFormat="1" applyFont="1" applyBorder="1" applyAlignment="1">
      <alignment horizontal="left" vertical="center" wrapText="1"/>
    </xf>
    <xf numFmtId="164" fontId="10" fillId="2" borderId="25" xfId="1" applyNumberFormat="1" applyFill="1" applyBorder="1" applyAlignment="1">
      <alignment horizontal="center" vertical="center"/>
    </xf>
    <xf numFmtId="0" fontId="4" fillId="4" borderId="18" xfId="2" applyFont="1" applyBorder="1" applyAlignment="1">
      <alignment horizontal="left" vertical="center" wrapText="1"/>
    </xf>
    <xf numFmtId="0" fontId="4" fillId="4" borderId="19" xfId="2" applyFont="1" applyBorder="1" applyAlignment="1">
      <alignment horizontal="left" vertical="center" wrapText="1"/>
    </xf>
    <xf numFmtId="0" fontId="4" fillId="4" borderId="20" xfId="2" applyFont="1" applyBorder="1" applyAlignment="1">
      <alignment horizontal="left" vertical="center" wrapText="1"/>
    </xf>
    <xf numFmtId="165" fontId="3" fillId="4" borderId="2" xfId="2" applyNumberFormat="1" applyBorder="1" applyAlignment="1">
      <alignment horizontal="left" vertical="center" wrapText="1"/>
    </xf>
    <xf numFmtId="165" fontId="3" fillId="4" borderId="8" xfId="2" applyNumberFormat="1" applyBorder="1" applyAlignment="1">
      <alignment horizontal="left" vertical="center" wrapText="1"/>
    </xf>
    <xf numFmtId="0" fontId="4" fillId="4" borderId="21" xfId="2" applyFont="1" applyBorder="1" applyAlignment="1">
      <alignment horizontal="left" vertical="center" wrapText="1"/>
    </xf>
    <xf numFmtId="165" fontId="3" fillId="4" borderId="6" xfId="2" applyNumberFormat="1" applyFont="1" applyBorder="1" applyAlignment="1">
      <alignment horizontal="left" vertical="center" wrapText="1"/>
    </xf>
    <xf numFmtId="165" fontId="3" fillId="4" borderId="1" xfId="2" applyNumberFormat="1" applyFont="1" applyBorder="1" applyAlignment="1">
      <alignment horizontal="left" vertical="center" wrapText="1"/>
    </xf>
    <xf numFmtId="165" fontId="3" fillId="4" borderId="7" xfId="2" applyNumberFormat="1" applyFont="1" applyBorder="1" applyAlignment="1">
      <alignment horizontal="left" vertical="center" wrapText="1"/>
    </xf>
  </cellXfs>
  <cellStyles count="104">
    <cellStyle name="40% - Accent1" xfId="3" builtinId="31" customBuiltin="1"/>
    <cellStyle name="40% - Accent3" xfId="19" builtinId="39"/>
    <cellStyle name="Accent1" xfId="2" builtinId="29" customBuiltin="1"/>
    <cellStyle name="Accent5" xfId="4" builtinId="45" customBuilti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Heading 1" xfId="1" builtinId="16" customBuilti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Normal" xfId="0" builtinId="0" customBuiltin="1"/>
  </cellStyles>
  <dxfs count="3">
    <dxf>
      <font>
        <strike val="0"/>
        <outline val="0"/>
        <shadow val="0"/>
        <u val="none"/>
        <vertAlign val="baseline"/>
        <sz val="11"/>
        <color auto="1"/>
      </font>
    </dxf>
    <dxf>
      <font>
        <strike val="0"/>
        <outline val="0"/>
        <shadow val="0"/>
        <u val="none"/>
        <vertAlign val="baseline"/>
        <sz val="11"/>
        <color auto="1"/>
      </font>
    </dxf>
    <dxf>
      <font>
        <strike val="0"/>
        <outline val="0"/>
        <shadow val="0"/>
        <u val="none"/>
        <vertAlign val="baseline"/>
        <sz val="11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ables/table1.xml><?xml version="1.0" encoding="utf-8"?>
<table xmlns="http://schemas.openxmlformats.org/spreadsheetml/2006/main" id="1" name="YearLookup" displayName="YearLookup" ref="A1:A9" totalsRowShown="0" headerRowDxfId="2" dataDxfId="1">
  <autoFilter ref="A1:A9"/>
  <tableColumns count="1">
    <tableColumn id="1" name="Year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Apothecary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Calenda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Apothecary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3000"/>
            <a:satMod val="14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atMod val="170000"/>
              </a:schemeClr>
              <a:schemeClr val="phClr">
                <a:shade val="70000"/>
                <a:satMod val="13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Relationship Id="rId3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6"/>
  <sheetViews>
    <sheetView showGridLines="0" zoomScale="125" zoomScaleNormal="125" zoomScalePageLayoutView="125" workbookViewId="0">
      <selection activeCell="F11" sqref="F11:H12"/>
    </sheetView>
  </sheetViews>
  <sheetFormatPr baseColWidth="10" defaultColWidth="8.7109375" defaultRowHeight="13" x14ac:dyDescent="0"/>
  <cols>
    <col min="1" max="1" width="2.42578125" style="1" customWidth="1"/>
    <col min="2" max="8" width="17.5703125" style="4" customWidth="1"/>
    <col min="9" max="16384" width="8.7109375" style="4"/>
  </cols>
  <sheetData>
    <row r="1" spans="1:8" s="1" customFormat="1" ht="59.25" customHeight="1" thickBot="1">
      <c r="B1" s="118">
        <f>DATE(CalendarYear,8,1)</f>
        <v>42583</v>
      </c>
      <c r="C1" s="118"/>
      <c r="D1" s="118"/>
      <c r="E1" s="118"/>
      <c r="F1" s="118"/>
      <c r="G1" s="118"/>
      <c r="H1" s="118"/>
    </row>
    <row r="2" spans="1:8" s="3" customFormat="1" ht="21.75" customHeight="1">
      <c r="A2" s="2"/>
      <c r="B2" s="18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20" t="s">
        <v>6</v>
      </c>
    </row>
    <row r="3" spans="1:8" ht="14" customHeight="1">
      <c r="B3" s="9" t="str">
        <f>IF(AND(YEAR(AugSun1)=CalendarYear,MONTH(AugSun1)=8),AugSun1, "")</f>
        <v/>
      </c>
      <c r="C3" s="5">
        <f>IF(AND(YEAR(AugSun1+1)=CalendarYear,MONTH(AugSun1+1)=8),AugSun1+1, "")</f>
        <v>42583</v>
      </c>
      <c r="D3" s="5">
        <f>IF(AND(YEAR(AugSun1+2)=CalendarYear,MONTH(AugSun1+2)=8),AugSun1+2, "")</f>
        <v>42584</v>
      </c>
      <c r="E3" s="5">
        <f>IF(AND(YEAR(AugSun1+3)=CalendarYear,MONTH(AugSun1+3)=8),AugSun1+3, "")</f>
        <v>42585</v>
      </c>
      <c r="F3" s="5">
        <f>IF(AND(YEAR(AugSun1+4)=CalendarYear,MONTH(AugSun1+4)=8),AugSun1+4, "")</f>
        <v>42586</v>
      </c>
      <c r="G3" s="5">
        <f>IF(AND(YEAR(AugSun1+5)=CalendarYear,MONTH(AugSun1+5)=8),AugSun1+5, "")</f>
        <v>42587</v>
      </c>
      <c r="H3" s="10">
        <f>IF(AND(YEAR(AugSun1+6)=CalendarYear,MONTH(AugSun1+6)=8),AugSun1+6, "")</f>
        <v>42588</v>
      </c>
    </row>
    <row r="4" spans="1:8" ht="58" customHeight="1">
      <c r="B4" s="29"/>
      <c r="C4" s="25"/>
      <c r="D4" s="26"/>
      <c r="E4" s="26"/>
      <c r="F4" s="26"/>
      <c r="G4" s="26"/>
      <c r="H4" s="30"/>
    </row>
    <row r="5" spans="1:8" ht="14" customHeight="1">
      <c r="B5" s="11">
        <f>IF(AND(YEAR(AugSun1+7)=CalendarYear,MONTH(AugSun1+7)=8),AugSun1+7, "")</f>
        <v>42589</v>
      </c>
      <c r="C5" s="5">
        <f>IF(AND(YEAR(AugSun1+8)=CalendarYear,MONTH(AugSun1+8)=8),AugSun1+8, "")</f>
        <v>42590</v>
      </c>
      <c r="D5" s="5">
        <f>IF(AND(YEAR(AugSun1+9)=CalendarYear,MONTH(AugSun1+9)=8),AugSun1+9, "")</f>
        <v>42591</v>
      </c>
      <c r="E5" s="5">
        <f>IF(AND(YEAR(AugSun1+10)=CalendarYear,MONTH(AugSun1+10)=8),AugSun1+10, "")</f>
        <v>42592</v>
      </c>
      <c r="F5" s="5">
        <f>IF(AND(YEAR(AugSun1+11)=CalendarYear,MONTH(AugSun1+11)=8),AugSun1+11, "")</f>
        <v>42593</v>
      </c>
      <c r="G5" s="5">
        <f>IF(AND(YEAR(AugSun1+12)=CalendarYear,MONTH(AugSun1+12)=8),AugSun1+12,"")</f>
        <v>42594</v>
      </c>
      <c r="H5" s="10">
        <f>IF(AND(YEAR(AugSun1+13)=CalendarYear,MONTH(AugSun1+13)=8),AugSun1+13, "")</f>
        <v>42595</v>
      </c>
    </row>
    <row r="6" spans="1:8" ht="58" customHeight="1">
      <c r="B6" s="29"/>
      <c r="C6" s="25"/>
      <c r="D6" s="26"/>
      <c r="E6" s="26"/>
      <c r="F6" s="26"/>
      <c r="G6" s="26"/>
      <c r="H6" s="30"/>
    </row>
    <row r="7" spans="1:8" ht="14" customHeight="1">
      <c r="B7" s="11">
        <f>IF(AND(YEAR(AugSun1+14)=CalendarYear,MONTH(AugSun1+14)=8),AugSun1+14, "")</f>
        <v>42596</v>
      </c>
      <c r="C7" s="5">
        <f>IF(AND(YEAR(AugSun1+15)=CalendarYear,MONTH(AugSun1+15)=8),AugSun1+15, "")</f>
        <v>42597</v>
      </c>
      <c r="D7" s="5">
        <f>IF(AND(YEAR(AugSun1+16)=CalendarYear,MONTH(AugSun1+16)=8),AugSun1+16, "")</f>
        <v>42598</v>
      </c>
      <c r="E7" s="5">
        <f>IF(AND(YEAR(AugSun1+17)=CalendarYear,MONTH(AugSun1+17)=8),AugSun1+17, "")</f>
        <v>42599</v>
      </c>
      <c r="F7" s="5">
        <f>IF(AND(YEAR(AugSun1+18)=CalendarYear,MONTH(AugSun1+18)=8),AugSun1+18, "")</f>
        <v>42600</v>
      </c>
      <c r="G7" s="5">
        <f>IF(AND(YEAR(AugSun1+19)=CalendarYear,MONTH(AugSun1+19)=8),AugSun1+19, "")</f>
        <v>42601</v>
      </c>
      <c r="H7" s="10">
        <f>IF(AND(YEAR(AugSun1+20)=CalendarYear,MONTH(AugSun1+20)=8),AugSun1+20, "")</f>
        <v>42602</v>
      </c>
    </row>
    <row r="8" spans="1:8" ht="58" customHeight="1">
      <c r="B8" s="29"/>
      <c r="C8" s="25"/>
      <c r="D8" s="26"/>
      <c r="E8" s="26"/>
      <c r="F8" s="26"/>
      <c r="G8" s="26"/>
      <c r="H8" s="30"/>
    </row>
    <row r="9" spans="1:8" ht="14" customHeight="1">
      <c r="B9" s="12">
        <f>IF(AND(YEAR(AugSun1+21)=CalendarYear,MONTH(AugSun1+21)=8),AugSun1+21, "")</f>
        <v>42603</v>
      </c>
      <c r="C9" s="6">
        <f>IF(AND(YEAR(AugSun1+22)=CalendarYear,MONTH(AugSun1+22)=8),AugSun1+22, "")</f>
        <v>42604</v>
      </c>
      <c r="D9" s="6">
        <f>IF(AND(YEAR(AugSun1+23)=CalendarYear,MONTH(AugSun1+23)=8),AugSun1+23, "")</f>
        <v>42605</v>
      </c>
      <c r="E9" s="6">
        <f>IF(AND(YEAR(AugSun1+24)=CalendarYear,MONTH(AugSun1+24)=8),AugSun1+24, "")</f>
        <v>42606</v>
      </c>
      <c r="F9" s="6">
        <f>IF(AND(YEAR(AugSun1+25)=CalendarYear,MONTH(AugSun1+25)=8),AugSun1+25, "")</f>
        <v>42607</v>
      </c>
      <c r="G9" s="6">
        <f>IF(AND(YEAR(AugSun1+26)=CalendarYear,MONTH(AugSun1+26)=8),AugSun1+26, "")</f>
        <v>42608</v>
      </c>
      <c r="H9" s="13">
        <f>IF(AND(YEAR(AugSun1+27)=CalendarYear,MONTH(AugSun1+27)=8),AugSun1+27, "")</f>
        <v>42609</v>
      </c>
    </row>
    <row r="10" spans="1:8" ht="58" customHeight="1">
      <c r="B10" s="29"/>
      <c r="C10" s="25"/>
      <c r="D10" s="26"/>
      <c r="E10" s="26"/>
      <c r="F10" s="26"/>
      <c r="G10" s="26" t="s">
        <v>19</v>
      </c>
      <c r="H10" s="30"/>
    </row>
    <row r="11" spans="1:8" ht="14" customHeight="1">
      <c r="B11" s="12">
        <f>IF(AND(YEAR(AugSun1+28)=CalendarYear,MONTH(AugSun1+28)=8),AugSun1+28, "")</f>
        <v>42610</v>
      </c>
      <c r="C11" s="6">
        <f>IF(AND(YEAR(AugSun1+29)=CalendarYear,MONTH(AugSun1+29)=8),AugSun1+29, "")</f>
        <v>42611</v>
      </c>
      <c r="D11" s="6">
        <f>IF(AND(YEAR(AugSun1+30)=CalendarYear,MONTH(AugSun1+30)=8),AugSun1+30, "")</f>
        <v>42612</v>
      </c>
      <c r="E11" s="6">
        <f>IF(AND(YEAR(AugSun1+31)=CalendarYear,MONTH(AugSun1+31)=8),AugSun1+31, "")</f>
        <v>42613</v>
      </c>
      <c r="F11" s="119" t="s">
        <v>13</v>
      </c>
      <c r="G11" s="120"/>
      <c r="H11" s="121"/>
    </row>
    <row r="12" spans="1:8" ht="58" customHeight="1">
      <c r="B12" s="35"/>
      <c r="C12" s="36"/>
      <c r="D12" s="37"/>
      <c r="E12" s="37"/>
      <c r="F12" s="122"/>
      <c r="G12" s="123"/>
      <c r="H12" s="124"/>
    </row>
    <row r="14" spans="1:8">
      <c r="B14" s="34" t="s">
        <v>21</v>
      </c>
    </row>
    <row r="15" spans="1:8">
      <c r="B15" s="4" t="s">
        <v>22</v>
      </c>
    </row>
    <row r="16" spans="1:8">
      <c r="B16" s="4" t="s">
        <v>23</v>
      </c>
    </row>
  </sheetData>
  <mergeCells count="3">
    <mergeCell ref="B1:H1"/>
    <mergeCell ref="F11:H11"/>
    <mergeCell ref="F12:H12"/>
  </mergeCells>
  <phoneticPr fontId="2" type="noConversion"/>
  <printOptions horizontalCentered="1"/>
  <pageMargins left="0.5" right="0.5" top="0.75" bottom="0.75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1"/>
  <sheetViews>
    <sheetView showGridLines="0" workbookViewId="0">
      <selection activeCell="B16" sqref="B16:B21"/>
    </sheetView>
  </sheetViews>
  <sheetFormatPr baseColWidth="10" defaultColWidth="8.7109375" defaultRowHeight="13" x14ac:dyDescent="0"/>
  <cols>
    <col min="1" max="1" width="2.42578125" style="1" customWidth="1"/>
    <col min="2" max="8" width="17.5703125" style="4" customWidth="1"/>
    <col min="9" max="16384" width="8.7109375" style="4"/>
  </cols>
  <sheetData>
    <row r="1" spans="1:8" s="1" customFormat="1" ht="59.25" customHeight="1" thickBot="1">
      <c r="B1" s="118">
        <f>DATE(2017,5,1)</f>
        <v>42856</v>
      </c>
      <c r="C1" s="118"/>
      <c r="D1" s="118"/>
      <c r="E1" s="118"/>
      <c r="F1" s="118"/>
      <c r="G1" s="118"/>
      <c r="H1" s="118"/>
    </row>
    <row r="2" spans="1:8" s="3" customFormat="1" ht="21.75" customHeight="1">
      <c r="A2" s="2"/>
      <c r="B2" s="18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20" t="s">
        <v>6</v>
      </c>
    </row>
    <row r="3" spans="1:8" ht="14" customHeight="1">
      <c r="B3" s="9">
        <f>IF(AND(YEAR(MaySun1)=CalendarYear,MONTH(MaySun1)=5),MaySun1, "")</f>
        <v>42491</v>
      </c>
      <c r="C3" s="5">
        <f>IF(AND(YEAR(MaySun1+1)=CalendarYear,MONTH(MaySun1+1)=5),MaySun1+1, "")</f>
        <v>42492</v>
      </c>
      <c r="D3" s="5">
        <f>IF(AND(YEAR(MaySun1+2)=CalendarYear,MONTH(MaySun1+2)=5),MaySun1+2, "")</f>
        <v>42493</v>
      </c>
      <c r="E3" s="5">
        <f>IF(AND(YEAR(MaySun1+3)=CalendarYear,MONTH(MaySun1+3)=5),MaySun1+3, "")</f>
        <v>42494</v>
      </c>
      <c r="F3" s="5">
        <f>IF(AND(YEAR(MaySun1+4)=CalendarYear,MONTH(MaySun1+4)=5),MaySun1+4, "")</f>
        <v>42495</v>
      </c>
      <c r="G3" s="5">
        <f>IF(AND(YEAR(MaySun1+5)=CalendarYear,MONTH(MaySun1+5)=5),MaySun1+5, "")</f>
        <v>42496</v>
      </c>
      <c r="H3" s="10">
        <f>IF(AND(YEAR(MaySun1+6)=CalendarYear,MONTH(MaySun1+6)=5),MaySun1+6, "")</f>
        <v>42497</v>
      </c>
    </row>
    <row r="4" spans="1:8" ht="58" customHeight="1">
      <c r="B4" s="29"/>
      <c r="C4" s="25"/>
      <c r="D4" s="26"/>
      <c r="E4" s="26"/>
      <c r="F4" s="26"/>
      <c r="G4" s="26"/>
      <c r="H4" s="30"/>
    </row>
    <row r="5" spans="1:8" ht="14" customHeight="1">
      <c r="B5" s="11">
        <f>IF(AND(YEAR(MaySun1+7)=CalendarYear,MONTH(MaySun1+7)=5),MaySun1+7, "")</f>
        <v>42498</v>
      </c>
      <c r="C5" s="5">
        <f>IF(AND(YEAR(MaySun1+8)=CalendarYear,MONTH(MaySun1+8)=5),MaySun1+8, "")</f>
        <v>42499</v>
      </c>
      <c r="D5" s="5">
        <f>IF(AND(YEAR(MaySun1+9)=CalendarYear,MONTH(MaySun1+9)=5),MaySun1+9, "")</f>
        <v>42500</v>
      </c>
      <c r="E5" s="5">
        <f>IF(AND(YEAR(MaySun1+10)=CalendarYear,MONTH(MaySun1+10)=5),MaySun1+10, "")</f>
        <v>42501</v>
      </c>
      <c r="F5" s="5">
        <f>IF(AND(YEAR(MaySun1+11)=CalendarYear,MONTH(MaySun1+11)=5),MaySun1+11, "")</f>
        <v>42502</v>
      </c>
      <c r="G5" s="5">
        <f>IF(AND(YEAR(MaySun1+12)=CalendarYear,MONTH(MaySun1+12)=5),MaySun1+12,"")</f>
        <v>42503</v>
      </c>
      <c r="H5" s="10">
        <f>IF(AND(YEAR(MaySun1+13)=CalendarYear,MONTH(MaySun1+13)=5),MaySun1+13, "")</f>
        <v>42504</v>
      </c>
    </row>
    <row r="6" spans="1:8" ht="58" customHeight="1">
      <c r="B6" s="29"/>
      <c r="C6" s="25"/>
      <c r="D6" s="26"/>
      <c r="E6" s="26"/>
      <c r="F6" s="26"/>
      <c r="G6" s="26"/>
      <c r="H6" s="30"/>
    </row>
    <row r="7" spans="1:8" ht="14" customHeight="1">
      <c r="B7" s="11">
        <f>IF(AND(YEAR(MaySun1+14)=CalendarYear,MONTH(MaySun1+14)=5),MaySun1+14, "")</f>
        <v>42505</v>
      </c>
      <c r="C7" s="5">
        <f>IF(AND(YEAR(MaySun1+15)=CalendarYear,MONTH(MaySun1+15)=5),MaySun1+15, "")</f>
        <v>42506</v>
      </c>
      <c r="D7" s="5">
        <f>IF(AND(YEAR(MaySun1+16)=CalendarYear,MONTH(MaySun1+16)=5),MaySun1+16, "")</f>
        <v>42507</v>
      </c>
      <c r="E7" s="5">
        <f>IF(AND(YEAR(MaySun1+17)=CalendarYear,MONTH(MaySun1+17)=5),MaySun1+17, "")</f>
        <v>42508</v>
      </c>
      <c r="F7" s="5">
        <f>IF(AND(YEAR(MaySun1+18)=CalendarYear,MONTH(MaySun1+18)=5),MaySun1+18, "")</f>
        <v>42509</v>
      </c>
      <c r="G7" s="5">
        <f>IF(AND(YEAR(MaySun1+19)=CalendarYear,MONTH(MaySun1+19)=5),MaySun1+19, "")</f>
        <v>42510</v>
      </c>
      <c r="H7" s="10">
        <f>IF(AND(YEAR(MaySun1+20)=CalendarYear,MONTH(MaySun1+20)=5),MaySun1+20, "")</f>
        <v>42511</v>
      </c>
    </row>
    <row r="8" spans="1:8" ht="58" customHeight="1">
      <c r="B8" s="29"/>
      <c r="C8" s="25"/>
      <c r="D8" s="26"/>
      <c r="E8" s="26"/>
      <c r="F8" s="26"/>
      <c r="G8" s="26"/>
      <c r="H8" s="30"/>
    </row>
    <row r="9" spans="1:8" ht="14" customHeight="1">
      <c r="B9" s="12">
        <f>IF(AND(YEAR(MaySun1+21)=CalendarYear,MONTH(MaySun1+21)=5),MaySun1+21, "")</f>
        <v>42512</v>
      </c>
      <c r="C9" s="6">
        <f>IF(AND(YEAR(MaySun1+22)=CalendarYear,MONTH(MaySun1+22)=5),MaySun1+22, "")</f>
        <v>42513</v>
      </c>
      <c r="D9" s="6">
        <f>IF(AND(YEAR(MaySun1+23)=CalendarYear,MONTH(MaySun1+23)=5),MaySun1+23, "")</f>
        <v>42514</v>
      </c>
      <c r="E9" s="6">
        <f>IF(AND(YEAR(MaySun1+24)=CalendarYear,MONTH(MaySun1+24)=5),MaySun1+24, "")</f>
        <v>42515</v>
      </c>
      <c r="F9" s="6">
        <f>IF(AND(YEAR(MaySun1+25)=CalendarYear,MONTH(MaySun1+25)=5),MaySun1+25, "")</f>
        <v>42516</v>
      </c>
      <c r="G9" s="6">
        <f>IF(AND(YEAR(MaySun1+26)=CalendarYear,MONTH(MaySun1+26)=5),MaySun1+26, "")</f>
        <v>42517</v>
      </c>
      <c r="H9" s="13">
        <f>IF(AND(YEAR(MaySun1+27)=CalendarYear,MONTH(MaySun1+27)=5),MaySun1+27, "")</f>
        <v>42518</v>
      </c>
    </row>
    <row r="10" spans="1:8" ht="58" customHeight="1">
      <c r="B10" s="33"/>
      <c r="C10" s="25"/>
      <c r="D10" s="26"/>
      <c r="E10" s="26"/>
      <c r="F10" s="26"/>
      <c r="G10" s="26"/>
      <c r="H10" s="30"/>
    </row>
    <row r="11" spans="1:8" ht="14" customHeight="1">
      <c r="B11" s="12">
        <f>IF(AND(YEAR(MaySun1+28)=CalendarYear,MONTH(MaySun1+28)=5),MaySun1+28, "")</f>
        <v>42519</v>
      </c>
      <c r="C11" s="6">
        <f>IF(AND(YEAR(MaySun1+29)=CalendarYear,MONTH(MaySun1+29)=5),MaySun1+29, "")</f>
        <v>42520</v>
      </c>
      <c r="D11" s="6">
        <f>IF(AND(YEAR(MaySun1+30)=CalendarYear,MONTH(MaySun1+30)=5),MaySun1+30, "")</f>
        <v>42521</v>
      </c>
      <c r="E11" s="6" t="str">
        <f>IF(AND(YEAR(MaySun1+31)=CalendarYear,MONTH(MaySun1+31)=5),MaySun1+31, "")</f>
        <v/>
      </c>
      <c r="F11" s="6" t="str">
        <f>IF(AND(YEAR(MaySun1+32)=CalendarYear,MONTH(MaySun1+32)=5),MaySun1+32, "")</f>
        <v/>
      </c>
      <c r="G11" s="6" t="str">
        <f>IF(AND(YEAR(MaySun1+33)=CalendarYear,MONTH(MaySun1+33)=5),MaySun1+33, "")</f>
        <v/>
      </c>
      <c r="H11" s="13" t="str">
        <f>IF(AND(YEAR(MaySun1+34)=CalendarYear,MONTH(MaySun1+34)=5),MaySun1+34, "")</f>
        <v/>
      </c>
    </row>
    <row r="12" spans="1:8" ht="58" customHeight="1">
      <c r="B12" s="29"/>
      <c r="C12" s="25"/>
      <c r="D12" s="26"/>
      <c r="E12" s="26"/>
      <c r="F12" s="25"/>
      <c r="G12" s="25"/>
      <c r="H12" s="30"/>
    </row>
    <row r="13" spans="1:8" ht="14" customHeight="1">
      <c r="B13" s="28" t="str">
        <f>IF(AND(YEAR(MaySun1+35)=CalendarYear,MONTH(MaySun1+35)=5),MaySun1+35, "")</f>
        <v/>
      </c>
      <c r="C13" s="24" t="str">
        <f>IF(AND(YEAR(MaySun1+36)=CalendarYear,MONTH(MaySun1+36)=5),MaySun1+36, "")</f>
        <v/>
      </c>
      <c r="D13" s="137" t="s">
        <v>8</v>
      </c>
      <c r="E13" s="137"/>
      <c r="F13" s="137"/>
      <c r="G13" s="137"/>
      <c r="H13" s="138"/>
    </row>
    <row r="14" spans="1:8" ht="58" customHeight="1" thickBot="1">
      <c r="B14" s="31"/>
      <c r="C14" s="27"/>
      <c r="D14" s="134"/>
      <c r="E14" s="135"/>
      <c r="F14" s="135"/>
      <c r="G14" s="135"/>
      <c r="H14" s="136"/>
    </row>
    <row r="16" spans="1:8">
      <c r="B16" s="34" t="s">
        <v>14</v>
      </c>
    </row>
    <row r="17" spans="2:2">
      <c r="B17" s="21" t="s">
        <v>12</v>
      </c>
    </row>
    <row r="18" spans="2:2">
      <c r="B18" s="21" t="s">
        <v>15</v>
      </c>
    </row>
    <row r="19" spans="2:2">
      <c r="B19" s="21" t="s">
        <v>16</v>
      </c>
    </row>
    <row r="20" spans="2:2">
      <c r="B20" s="21" t="s">
        <v>17</v>
      </c>
    </row>
    <row r="21" spans="2:2">
      <c r="B21" s="21" t="s">
        <v>18</v>
      </c>
    </row>
  </sheetData>
  <mergeCells count="3">
    <mergeCell ref="B1:H1"/>
    <mergeCell ref="D13:H13"/>
    <mergeCell ref="D14:H14"/>
  </mergeCells>
  <phoneticPr fontId="2" type="noConversion"/>
  <printOptions horizont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1"/>
  <sheetViews>
    <sheetView showGridLines="0" workbookViewId="0">
      <selection activeCell="B16" sqref="B16:B21"/>
    </sheetView>
  </sheetViews>
  <sheetFormatPr baseColWidth="10" defaultColWidth="8.7109375" defaultRowHeight="13" x14ac:dyDescent="0"/>
  <cols>
    <col min="1" max="1" width="2.42578125" style="1" customWidth="1"/>
    <col min="2" max="8" width="17.5703125" style="4" customWidth="1"/>
    <col min="9" max="16384" width="8.7109375" style="4"/>
  </cols>
  <sheetData>
    <row r="1" spans="1:8" s="1" customFormat="1" ht="59.25" customHeight="1" thickBot="1">
      <c r="B1" s="118">
        <f>DATE(2017,6,1)</f>
        <v>42887</v>
      </c>
      <c r="C1" s="118"/>
      <c r="D1" s="118"/>
      <c r="E1" s="118"/>
      <c r="F1" s="118"/>
      <c r="G1" s="118"/>
      <c r="H1" s="118"/>
    </row>
    <row r="2" spans="1:8" s="3" customFormat="1" ht="21.75" customHeight="1">
      <c r="A2" s="2"/>
      <c r="B2" s="15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6</v>
      </c>
    </row>
    <row r="3" spans="1:8" ht="14" customHeight="1">
      <c r="B3" s="9" t="str">
        <f>IF(AND(YEAR(JunSun1)=CalendarYear,MONTH(JunSun1)=6),JunSun1, "")</f>
        <v/>
      </c>
      <c r="C3" s="5" t="str">
        <f>IF(AND(YEAR(JunSun1+1)=CalendarYear,MONTH(JunSun1+1)=6),JunSun1+1, "")</f>
        <v/>
      </c>
      <c r="D3" s="5" t="str">
        <f>IF(AND(YEAR(JunSun1+2)=CalendarYear,MONTH(JunSun1+2)=6),JunSun1+2, "")</f>
        <v/>
      </c>
      <c r="E3" s="5">
        <f>IF(AND(YEAR(JunSun1+3)=CalendarYear,MONTH(JunSun1+3)=6),JunSun1+3, "")</f>
        <v>42522</v>
      </c>
      <c r="F3" s="5">
        <f>IF(AND(YEAR(JunSun1+4)=CalendarYear,MONTH(JunSun1+4)=6),JunSun1+4, "")</f>
        <v>42523</v>
      </c>
      <c r="G3" s="5">
        <f>IF(AND(YEAR(JunSun1+5)=CalendarYear,MONTH(JunSun1+5)=6),JunSun1+5, "")</f>
        <v>42524</v>
      </c>
      <c r="H3" s="10">
        <f>IF(AND(YEAR(JunSun1+6)=CalendarYear,MONTH(JunSun1+6)=6),JunSun1+6, "")</f>
        <v>42525</v>
      </c>
    </row>
    <row r="4" spans="1:8" ht="58" customHeight="1">
      <c r="B4" s="29"/>
      <c r="C4" s="25"/>
      <c r="D4" s="26"/>
      <c r="E4" s="26"/>
      <c r="F4" s="26"/>
      <c r="G4" s="26"/>
      <c r="H4" s="30"/>
    </row>
    <row r="5" spans="1:8" ht="14" customHeight="1">
      <c r="B5" s="11">
        <f>IF(AND(YEAR(JunSun1+7)=CalendarYear,MONTH(JunSun1+7)=6),JunSun1+7, "")</f>
        <v>42526</v>
      </c>
      <c r="C5" s="5">
        <f>IF(AND(YEAR(JunSun1+8)=CalendarYear,MONTH(JunSun1+8)=6),JunSun1+8, "")</f>
        <v>42527</v>
      </c>
      <c r="D5" s="5">
        <f>IF(AND(YEAR(JunSun1+9)=CalendarYear,MONTH(JunSun1+9)=6),JunSun1+9, "")</f>
        <v>42528</v>
      </c>
      <c r="E5" s="5">
        <f>IF(AND(YEAR(JunSun1+10)=CalendarYear,MONTH(JunSun1+10)=6),JunSun1+10, "")</f>
        <v>42529</v>
      </c>
      <c r="F5" s="5">
        <f>IF(AND(YEAR(JunSun1+11)=CalendarYear,MONTH(JunSun1+11)=6),JunSun1+11, "")</f>
        <v>42530</v>
      </c>
      <c r="G5" s="5">
        <f>IF(AND(YEAR(JunSun1+12)=CalendarYear,MONTH(JunSun1+12)=6),JunSun1+12,"")</f>
        <v>42531</v>
      </c>
      <c r="H5" s="10">
        <f>IF(AND(YEAR(JunSun1+13)=CalendarYear,MONTH(JunSun1+13)=6),JunSun1+13, "")</f>
        <v>42532</v>
      </c>
    </row>
    <row r="6" spans="1:8" ht="58" customHeight="1">
      <c r="B6" s="29"/>
      <c r="C6" s="25"/>
      <c r="D6" s="26"/>
      <c r="E6" s="26"/>
      <c r="F6" s="26"/>
      <c r="G6" s="26"/>
      <c r="H6" s="30"/>
    </row>
    <row r="7" spans="1:8" ht="14" customHeight="1">
      <c r="B7" s="11">
        <f>IF(AND(YEAR(JunSun1+14)=CalendarYear,MONTH(JunSun1+14)=6),JunSun1+14, "")</f>
        <v>42533</v>
      </c>
      <c r="C7" s="5">
        <f>IF(AND(YEAR(JunSun1+15)=CalendarYear,MONTH(JunSun1+15)=6),JunSun1+15, "")</f>
        <v>42534</v>
      </c>
      <c r="D7" s="5">
        <f>IF(AND(YEAR(JunSun1+16)=CalendarYear,MONTH(JunSun1+16)=6),JunSun1+16, "")</f>
        <v>42535</v>
      </c>
      <c r="E7" s="5">
        <f>IF(AND(YEAR(JunSun1+17)=CalendarYear,MONTH(JunSun1+17)=6),JunSun1+17, "")</f>
        <v>42536</v>
      </c>
      <c r="F7" s="5">
        <f>IF(AND(YEAR(JunSun1+18)=CalendarYear,MONTH(JunSun1+18)=6),JunSun1+18, "")</f>
        <v>42537</v>
      </c>
      <c r="G7" s="5">
        <f>IF(AND(YEAR(JunSun1+19)=CalendarYear,MONTH(JunSun1+19)=6),JunSun1+19, "")</f>
        <v>42538</v>
      </c>
      <c r="H7" s="10">
        <f>IF(AND(YEAR(JunSun1+20)=CalendarYear,MONTH(JunSun1+20)=6),JunSun1+20, "")</f>
        <v>42539</v>
      </c>
    </row>
    <row r="8" spans="1:8" ht="58" customHeight="1">
      <c r="B8" s="29"/>
      <c r="C8" s="25"/>
      <c r="D8" s="26"/>
      <c r="E8" s="26"/>
      <c r="F8" s="26"/>
      <c r="G8" s="26"/>
      <c r="H8" s="30"/>
    </row>
    <row r="9" spans="1:8" ht="14" customHeight="1">
      <c r="B9" s="12">
        <f>IF(AND(YEAR(JunSun1+21)=CalendarYear,MONTH(JunSun1+21)=6),JunSun1+21, "")</f>
        <v>42540</v>
      </c>
      <c r="C9" s="6">
        <f>IF(AND(YEAR(JunSun1+22)=CalendarYear,MONTH(JunSun1+22)=6),JunSun1+22, "")</f>
        <v>42541</v>
      </c>
      <c r="D9" s="6">
        <f>IF(AND(YEAR(JunSun1+23)=CalendarYear,MONTH(JunSun1+23)=6),JunSun1+23, "")</f>
        <v>42542</v>
      </c>
      <c r="E9" s="6">
        <f>IF(AND(YEAR(JunSun1+24)=CalendarYear,MONTH(JunSun1+24)=6),JunSun1+24, "")</f>
        <v>42543</v>
      </c>
      <c r="F9" s="6">
        <f>IF(AND(YEAR(JunSun1+25)=CalendarYear,MONTH(JunSun1+25)=6),JunSun1+25, "")</f>
        <v>42544</v>
      </c>
      <c r="G9" s="6">
        <f>IF(AND(YEAR(JunSun1+26)=CalendarYear,MONTH(JunSun1+26)=6),JunSun1+26, "")</f>
        <v>42545</v>
      </c>
      <c r="H9" s="13">
        <f>IF(AND(YEAR(JunSun1+27)=CalendarYear,MONTH(JunSun1+27)=6),JunSun1+27, "")</f>
        <v>42546</v>
      </c>
    </row>
    <row r="10" spans="1:8" ht="58" customHeight="1">
      <c r="B10" s="29"/>
      <c r="C10" s="25"/>
      <c r="D10" s="26"/>
      <c r="E10" s="26"/>
      <c r="F10" s="26"/>
      <c r="G10" s="26"/>
      <c r="H10" s="30"/>
    </row>
    <row r="11" spans="1:8" ht="14" customHeight="1">
      <c r="B11" s="12">
        <f>IF(AND(YEAR(JunSun1+28)=CalendarYear,MONTH(JunSun1+28)=6),JunSun1+28, "")</f>
        <v>42547</v>
      </c>
      <c r="C11" s="6">
        <f>IF(AND(YEAR(JunSun1+29)=CalendarYear,MONTH(JunSun1+29)=6),JunSun1+29, "")</f>
        <v>42548</v>
      </c>
      <c r="D11" s="6">
        <f>IF(AND(YEAR(JunSun1+30)=CalendarYear,MONTH(JunSun1+30)=6),JunSun1+30, "")</f>
        <v>42549</v>
      </c>
      <c r="E11" s="6">
        <f>IF(AND(YEAR(JunSun1+31)=CalendarYear,MONTH(JunSun1+31)=6),JunSun1+31, "")</f>
        <v>42550</v>
      </c>
      <c r="F11" s="6">
        <f>IF(AND(YEAR(JunSun1+32)=CalendarYear,MONTH(JunSun1+32)=6),JunSun1+32, "")</f>
        <v>42551</v>
      </c>
      <c r="G11" s="6" t="str">
        <f>IF(AND(YEAR(JunSun1+33)=CalendarYear,MONTH(JunSun1+33)=6),JunSun1+33, "")</f>
        <v/>
      </c>
      <c r="H11" s="13" t="str">
        <f>IF(AND(YEAR(JunSun1+34)=CalendarYear,MONTH(JunSun1+34)=6),JunSun1+34, "")</f>
        <v/>
      </c>
    </row>
    <row r="12" spans="1:8" ht="58" customHeight="1">
      <c r="B12" s="29"/>
      <c r="C12" s="25"/>
      <c r="D12" s="26"/>
      <c r="E12" s="26"/>
      <c r="F12" s="25"/>
      <c r="G12" s="25"/>
      <c r="H12" s="30"/>
    </row>
    <row r="13" spans="1:8" ht="14" customHeight="1">
      <c r="B13" s="12" t="str">
        <f>IF(AND(YEAR(JunSun1+35)=CalendarYear,MONTH(JunSun1+35)=6),JunSun1+35, "")</f>
        <v/>
      </c>
      <c r="C13" s="137" t="s">
        <v>8</v>
      </c>
      <c r="D13" s="137"/>
      <c r="E13" s="137"/>
      <c r="F13" s="137"/>
      <c r="G13" s="137"/>
      <c r="H13" s="138"/>
    </row>
    <row r="14" spans="1:8" ht="58" customHeight="1" thickBot="1">
      <c r="B14" s="31"/>
      <c r="C14" s="134"/>
      <c r="D14" s="135"/>
      <c r="E14" s="135"/>
      <c r="F14" s="135"/>
      <c r="G14" s="135"/>
      <c r="H14" s="136"/>
    </row>
    <row r="16" spans="1:8">
      <c r="B16" s="34" t="s">
        <v>14</v>
      </c>
    </row>
    <row r="17" spans="2:2">
      <c r="B17" s="21" t="s">
        <v>12</v>
      </c>
    </row>
    <row r="18" spans="2:2">
      <c r="B18" s="21" t="s">
        <v>15</v>
      </c>
    </row>
    <row r="19" spans="2:2">
      <c r="B19" s="21" t="s">
        <v>16</v>
      </c>
    </row>
    <row r="20" spans="2:2">
      <c r="B20" s="21" t="s">
        <v>17</v>
      </c>
    </row>
    <row r="21" spans="2:2">
      <c r="B21" s="21" t="s">
        <v>18</v>
      </c>
    </row>
  </sheetData>
  <mergeCells count="3">
    <mergeCell ref="B1:H1"/>
    <mergeCell ref="C13:H13"/>
    <mergeCell ref="C14:H14"/>
  </mergeCells>
  <phoneticPr fontId="2" type="noConversion"/>
  <printOptions horizont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1"/>
  <sheetViews>
    <sheetView showGridLines="0" workbookViewId="0">
      <selection activeCell="B16" sqref="B16:B21"/>
    </sheetView>
  </sheetViews>
  <sheetFormatPr baseColWidth="10" defaultColWidth="8.7109375" defaultRowHeight="13" x14ac:dyDescent="0"/>
  <cols>
    <col min="1" max="1" width="2.42578125" style="1" customWidth="1"/>
    <col min="2" max="8" width="17.5703125" style="4" customWidth="1"/>
    <col min="9" max="16384" width="8.7109375" style="4"/>
  </cols>
  <sheetData>
    <row r="1" spans="1:8" s="1" customFormat="1" ht="59.25" customHeight="1" thickBot="1">
      <c r="B1" s="118">
        <f>DATE(2017,7,1)</f>
        <v>42917</v>
      </c>
      <c r="C1" s="118"/>
      <c r="D1" s="118"/>
      <c r="E1" s="118"/>
      <c r="F1" s="118"/>
      <c r="G1" s="118"/>
      <c r="H1" s="118"/>
    </row>
    <row r="2" spans="1:8" s="3" customFormat="1" ht="21.75" customHeight="1">
      <c r="A2" s="2"/>
      <c r="B2" s="18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20" t="s">
        <v>6</v>
      </c>
    </row>
    <row r="3" spans="1:8" ht="14" customHeight="1">
      <c r="B3" s="9" t="str">
        <f>IF(AND(YEAR(JulSun1)=CalendarYear,MONTH(JulSun1)=7),JulSun1, "")</f>
        <v/>
      </c>
      <c r="C3" s="5" t="str">
        <f>IF(AND(YEAR(JulSun1+1)=CalendarYear,MONTH(JulSun1+1)=7),JulSun1+1, "")</f>
        <v/>
      </c>
      <c r="D3" s="5" t="str">
        <f>IF(AND(YEAR(JulSun1+2)=CalendarYear,MONTH(JulSun1+2)=7),JulSun1+2, "")</f>
        <v/>
      </c>
      <c r="E3" s="5" t="str">
        <f>IF(AND(YEAR(JulSun1+3)=CalendarYear,MONTH(JulSun1+3)=7),JulSun1+3, "")</f>
        <v/>
      </c>
      <c r="F3" s="5" t="str">
        <f>IF(AND(YEAR(JulSun1+4)=CalendarYear,MONTH(JulSun1+4)=7),JulSun1+4, "")</f>
        <v/>
      </c>
      <c r="G3" s="5">
        <f>IF(AND(YEAR(JulSun1+5)=CalendarYear,MONTH(JulSun1+5)=7),JulSun1+5, "")</f>
        <v>42552</v>
      </c>
      <c r="H3" s="10">
        <f>IF(AND(YEAR(JulSun1+6)=CalendarYear,MONTH(JulSun1+6)=7),JulSun1+6, "")</f>
        <v>42553</v>
      </c>
    </row>
    <row r="4" spans="1:8" ht="58" customHeight="1">
      <c r="B4" s="29"/>
      <c r="C4" s="25"/>
      <c r="D4" s="26"/>
      <c r="E4" s="26"/>
      <c r="F4" s="26"/>
      <c r="G4" s="26"/>
      <c r="H4" s="30"/>
    </row>
    <row r="5" spans="1:8" ht="14" customHeight="1">
      <c r="B5" s="11">
        <f>IF(AND(YEAR(JulSun1+7)=CalendarYear,MONTH(JulSun1+7)=7),JulSun1+7, "")</f>
        <v>42554</v>
      </c>
      <c r="C5" s="5">
        <f>IF(AND(YEAR(JulSun1+8)=CalendarYear,MONTH(JulSun1+8)=7),JulSun1+8, "")</f>
        <v>42555</v>
      </c>
      <c r="D5" s="5">
        <f>IF(AND(YEAR(JulSun1+9)=CalendarYear,MONTH(JulSun1+9)=7),JulSun1+9, "")</f>
        <v>42556</v>
      </c>
      <c r="E5" s="5">
        <f>IF(AND(YEAR(JulSun1+10)=CalendarYear,MONTH(JulSun1+10)=7),JulSun1+10, "")</f>
        <v>42557</v>
      </c>
      <c r="F5" s="5">
        <f>IF(AND(YEAR(JulSun1+11)=CalendarYear,MONTH(JulSun1+11)=7),JulSun1+11, "")</f>
        <v>42558</v>
      </c>
      <c r="G5" s="5">
        <f>IF(AND(YEAR(JulSun1+12)=CalendarYear,MONTH(JulSun1+12)=7),JulSun1+12,"")</f>
        <v>42559</v>
      </c>
      <c r="H5" s="10">
        <f>IF(AND(YEAR(JulSun1+13)=CalendarYear,MONTH(JulSun1+13)=7),JulSun1+13, "")</f>
        <v>42560</v>
      </c>
    </row>
    <row r="6" spans="1:8" ht="58" customHeight="1">
      <c r="B6" s="29"/>
      <c r="C6" s="25"/>
      <c r="D6" s="26"/>
      <c r="E6" s="26"/>
      <c r="F6" s="26"/>
      <c r="G6" s="26"/>
      <c r="H6" s="30"/>
    </row>
    <row r="7" spans="1:8" ht="14" customHeight="1">
      <c r="B7" s="11">
        <f>IF(AND(YEAR(JulSun1+14)=CalendarYear,MONTH(JulSun1+14)=7),JulSun1+14, "")</f>
        <v>42561</v>
      </c>
      <c r="C7" s="5">
        <f>IF(AND(YEAR(JulSun1+15)=CalendarYear,MONTH(JulSun1+15)=7),JulSun1+15, "")</f>
        <v>42562</v>
      </c>
      <c r="D7" s="5">
        <f>IF(AND(YEAR(JulSun1+16)=CalendarYear,MONTH(JulSun1+16)=7),JulSun1+16, "")</f>
        <v>42563</v>
      </c>
      <c r="E7" s="5">
        <f>IF(AND(YEAR(JulSun1+17)=CalendarYear,MONTH(JulSun1+17)=7),JulSun1+17, "")</f>
        <v>42564</v>
      </c>
      <c r="F7" s="5">
        <f>IF(AND(YEAR(JulSun1+18)=CalendarYear,MONTH(JulSun1+18)=7),JulSun1+18, "")</f>
        <v>42565</v>
      </c>
      <c r="G7" s="5">
        <f>IF(AND(YEAR(JulSun1+19)=CalendarYear,MONTH(JulSun1+19)=7),JulSun1+19, "")</f>
        <v>42566</v>
      </c>
      <c r="H7" s="10">
        <f>IF(AND(YEAR(JulSun1+20)=CalendarYear,MONTH(JulSun1+20)=7),JulSun1+20, "")</f>
        <v>42567</v>
      </c>
    </row>
    <row r="8" spans="1:8" ht="58" customHeight="1">
      <c r="B8" s="29"/>
      <c r="C8" s="25"/>
      <c r="D8" s="26"/>
      <c r="E8" s="26"/>
      <c r="F8" s="26"/>
      <c r="G8" s="26"/>
      <c r="H8" s="30"/>
    </row>
    <row r="9" spans="1:8" ht="14" customHeight="1">
      <c r="B9" s="12">
        <f>IF(AND(YEAR(JulSun1+21)=CalendarYear,MONTH(JulSun1+21)=7),JulSun1+21, "")</f>
        <v>42568</v>
      </c>
      <c r="C9" s="6">
        <f>IF(AND(YEAR(JulSun1+22)=CalendarYear,MONTH(JulSun1+22)=7),JulSun1+22, "")</f>
        <v>42569</v>
      </c>
      <c r="D9" s="6">
        <f>IF(AND(YEAR(JulSun1+23)=CalendarYear,MONTH(JulSun1+23)=7),JulSun1+23, "")</f>
        <v>42570</v>
      </c>
      <c r="E9" s="6">
        <f>IF(AND(YEAR(JulSun1+24)=CalendarYear,MONTH(JulSun1+24)=7),JulSun1+24, "")</f>
        <v>42571</v>
      </c>
      <c r="F9" s="6">
        <f>IF(AND(YEAR(JulSun1+25)=CalendarYear,MONTH(JulSun1+25)=7),JulSun1+25, "")</f>
        <v>42572</v>
      </c>
      <c r="G9" s="6">
        <f>IF(AND(YEAR(JulSun1+26)=CalendarYear,MONTH(JulSun1+26)=7),JulSun1+26, "")</f>
        <v>42573</v>
      </c>
      <c r="H9" s="13">
        <f>IF(AND(YEAR(JulSun1+27)=CalendarYear,MONTH(JulSun1+27)=7),JulSun1+27, "")</f>
        <v>42574</v>
      </c>
    </row>
    <row r="10" spans="1:8" ht="58" customHeight="1">
      <c r="B10" s="29"/>
      <c r="C10" s="25"/>
      <c r="D10" s="26"/>
      <c r="E10" s="26"/>
      <c r="F10" s="26"/>
      <c r="G10" s="26"/>
      <c r="H10" s="30"/>
    </row>
    <row r="11" spans="1:8" ht="14" customHeight="1">
      <c r="B11" s="12">
        <f>IF(AND(YEAR(JulSun1+28)=CalendarYear,MONTH(JulSun1+28)=7),JulSun1+28, "")</f>
        <v>42575</v>
      </c>
      <c r="C11" s="6">
        <f>IF(AND(YEAR(JulSun1+29)=CalendarYear,MONTH(JulSun1+29)=7),JulSun1+29, "")</f>
        <v>42576</v>
      </c>
      <c r="D11" s="6">
        <f>IF(AND(YEAR(JulSun1+30)=CalendarYear,MONTH(JulSun1+30)=7),JulSun1+30, "")</f>
        <v>42577</v>
      </c>
      <c r="E11" s="6">
        <f>IF(AND(YEAR(JulSun1+31)=CalendarYear,MONTH(JulSun1+31)=7),JulSun1+31, "")</f>
        <v>42578</v>
      </c>
      <c r="F11" s="6">
        <f>IF(AND(YEAR(JulSun1+32)=CalendarYear,MONTH(JulSun1+32)=7),JulSun1+32, "")</f>
        <v>42579</v>
      </c>
      <c r="G11" s="6">
        <f>IF(AND(YEAR(JulSun1+33)=CalendarYear,MONTH(JulSun1+33)=7),JulSun1+33, "")</f>
        <v>42580</v>
      </c>
      <c r="H11" s="13">
        <f>IF(AND(YEAR(JulSun1+34)=CalendarYear,MONTH(JulSun1+34)=7),JulSun1+34, "")</f>
        <v>42581</v>
      </c>
    </row>
    <row r="12" spans="1:8" ht="58" customHeight="1">
      <c r="B12" s="29"/>
      <c r="C12" s="25"/>
      <c r="D12" s="26"/>
      <c r="E12" s="26"/>
      <c r="F12" s="25"/>
      <c r="G12" s="25"/>
      <c r="H12" s="30"/>
    </row>
    <row r="13" spans="1:8" ht="14" customHeight="1">
      <c r="B13" s="28">
        <f>IF(AND(YEAR(JulSun1+35)=CalendarYear,MONTH(JulSun1+35)=7),JulSun1+35, "")</f>
        <v>42582</v>
      </c>
      <c r="C13" s="24" t="str">
        <f>IF(AND(YEAR(JulSun1+36)=CalendarYear,MONTH(JulSun1+36)=7),JulSun1+36, "")</f>
        <v/>
      </c>
      <c r="D13" s="137" t="s">
        <v>8</v>
      </c>
      <c r="E13" s="137"/>
      <c r="F13" s="137"/>
      <c r="G13" s="137"/>
      <c r="H13" s="138"/>
    </row>
    <row r="14" spans="1:8" ht="58" customHeight="1" thickBot="1">
      <c r="B14" s="31"/>
      <c r="C14" s="27"/>
      <c r="D14" s="134"/>
      <c r="E14" s="135"/>
      <c r="F14" s="135"/>
      <c r="G14" s="135"/>
      <c r="H14" s="136"/>
    </row>
    <row r="16" spans="1:8">
      <c r="B16" s="34" t="s">
        <v>14</v>
      </c>
    </row>
    <row r="17" spans="2:2">
      <c r="B17" s="21" t="s">
        <v>12</v>
      </c>
    </row>
    <row r="18" spans="2:2">
      <c r="B18" s="21" t="s">
        <v>15</v>
      </c>
    </row>
    <row r="19" spans="2:2">
      <c r="B19" s="21" t="s">
        <v>16</v>
      </c>
    </row>
    <row r="20" spans="2:2">
      <c r="B20" s="21" t="s">
        <v>17</v>
      </c>
    </row>
    <row r="21" spans="2:2">
      <c r="B21" s="21" t="s">
        <v>18</v>
      </c>
    </row>
  </sheetData>
  <mergeCells count="3">
    <mergeCell ref="B1:H1"/>
    <mergeCell ref="D13:H13"/>
    <mergeCell ref="D14:H14"/>
  </mergeCells>
  <phoneticPr fontId="2" type="noConversion"/>
  <printOptions horizont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baseColWidth="10" defaultColWidth="8.7109375" defaultRowHeight="13" x14ac:dyDescent="0"/>
  <cols>
    <col min="1" max="1" width="10.42578125" style="4" customWidth="1"/>
    <col min="2" max="2" width="9.5703125" style="4" customWidth="1"/>
    <col min="3" max="3" width="9.7109375" style="4" customWidth="1"/>
    <col min="4" max="16384" width="8.7109375" style="4"/>
  </cols>
  <sheetData>
    <row r="1" spans="1:3" ht="14">
      <c r="A1" s="21" t="s">
        <v>7</v>
      </c>
      <c r="B1" s="22"/>
    </row>
    <row r="2" spans="1:3" ht="14">
      <c r="A2" s="22">
        <v>2010</v>
      </c>
      <c r="B2" s="22"/>
    </row>
    <row r="3" spans="1:3" ht="14">
      <c r="A3" s="22">
        <v>2011</v>
      </c>
      <c r="B3" s="22"/>
    </row>
    <row r="4" spans="1:3" ht="14">
      <c r="A4" s="22">
        <v>2012</v>
      </c>
      <c r="B4" s="22"/>
    </row>
    <row r="5" spans="1:3" ht="14">
      <c r="A5" s="22">
        <v>2013</v>
      </c>
      <c r="B5" s="22"/>
    </row>
    <row r="6" spans="1:3" ht="14">
      <c r="A6" s="22">
        <v>2014</v>
      </c>
      <c r="B6" s="22"/>
    </row>
    <row r="7" spans="1:3" ht="14">
      <c r="A7" s="22">
        <v>2015</v>
      </c>
      <c r="B7" s="22"/>
    </row>
    <row r="8" spans="1:3" ht="14">
      <c r="A8" s="23">
        <v>2016</v>
      </c>
      <c r="B8" s="22"/>
    </row>
    <row r="9" spans="1:3" ht="14">
      <c r="A9" s="23">
        <v>2017</v>
      </c>
      <c r="B9" s="22"/>
    </row>
    <row r="10" spans="1:3" ht="14">
      <c r="A10" s="23"/>
      <c r="B10" s="22"/>
    </row>
    <row r="11" spans="1:3" ht="14">
      <c r="A11" s="22"/>
      <c r="B11" s="22"/>
    </row>
    <row r="12" spans="1:3" ht="14">
      <c r="A12" s="22"/>
      <c r="B12" s="22"/>
    </row>
  </sheetData>
  <phoneticPr fontId="2" type="noConversion"/>
  <pageMargins left="0.7" right="0.7" top="0.75" bottom="0.75" header="0.3" footer="0.3"/>
  <legacy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XFD1048576"/>
    </sheetView>
  </sheetViews>
  <sheetFormatPr baseColWidth="10" defaultRowHeight="14" x14ac:dyDescent="0"/>
  <cols>
    <col min="7" max="7" width="16.5703125" customWidth="1"/>
  </cols>
  <sheetData>
    <row r="1" spans="1:7" ht="36" thickBot="1">
      <c r="A1" s="118"/>
      <c r="B1" s="118"/>
      <c r="C1" s="118"/>
      <c r="D1" s="118"/>
      <c r="E1" s="118"/>
      <c r="F1" s="118"/>
      <c r="G1" s="118"/>
    </row>
    <row r="2" spans="1:7">
      <c r="A2" s="18"/>
      <c r="B2" s="19"/>
      <c r="C2" s="19"/>
      <c r="D2" s="19"/>
      <c r="E2" s="19"/>
      <c r="F2" s="19"/>
      <c r="G2" s="20"/>
    </row>
    <row r="3" spans="1:7">
      <c r="A3" s="9"/>
      <c r="B3" s="5"/>
      <c r="C3" s="5"/>
      <c r="D3" s="5"/>
      <c r="E3" s="5"/>
      <c r="F3" s="5"/>
      <c r="G3" s="10"/>
    </row>
    <row r="4" spans="1:7">
      <c r="A4" s="49"/>
      <c r="B4" s="50"/>
      <c r="C4" s="42"/>
      <c r="D4" s="42"/>
      <c r="E4" s="42"/>
      <c r="F4" s="42"/>
      <c r="G4" s="51"/>
    </row>
    <row r="5" spans="1:7">
      <c r="A5" s="52"/>
      <c r="B5" s="53"/>
      <c r="C5" s="53"/>
      <c r="D5" s="53"/>
      <c r="E5" s="53"/>
      <c r="F5" s="53"/>
      <c r="G5" s="54"/>
    </row>
    <row r="6" spans="1:7">
      <c r="A6" s="49"/>
      <c r="B6" s="50"/>
      <c r="C6" s="42"/>
      <c r="D6" s="42"/>
      <c r="E6" s="42"/>
      <c r="F6" s="42"/>
      <c r="G6" s="51"/>
    </row>
    <row r="7" spans="1:7">
      <c r="A7" s="52"/>
      <c r="B7" s="53"/>
      <c r="C7" s="53"/>
      <c r="D7" s="53"/>
      <c r="E7" s="53"/>
      <c r="F7" s="53"/>
      <c r="G7" s="54"/>
    </row>
    <row r="8" spans="1:7">
      <c r="A8" s="49"/>
      <c r="B8" s="55"/>
      <c r="C8" s="56"/>
      <c r="D8" s="42"/>
      <c r="E8" s="42"/>
      <c r="F8" s="42"/>
      <c r="G8" s="51"/>
    </row>
    <row r="9" spans="1:7">
      <c r="A9" s="57"/>
      <c r="B9" s="58"/>
      <c r="C9" s="58"/>
      <c r="D9" s="58"/>
      <c r="E9" s="58"/>
      <c r="F9" s="58"/>
      <c r="G9" s="59"/>
    </row>
    <row r="10" spans="1:7">
      <c r="A10" s="49"/>
      <c r="B10" s="50"/>
      <c r="C10" s="42"/>
      <c r="D10" s="42"/>
      <c r="E10" s="60"/>
      <c r="F10" s="42"/>
      <c r="G10" s="51"/>
    </row>
    <row r="11" spans="1:7">
      <c r="A11" s="57"/>
      <c r="B11" s="58"/>
      <c r="C11" s="58"/>
      <c r="D11" s="58"/>
      <c r="E11" s="58"/>
      <c r="F11" s="58"/>
      <c r="G11" s="61"/>
    </row>
    <row r="12" spans="1:7">
      <c r="A12" s="62"/>
      <c r="B12" s="63"/>
      <c r="C12" s="43"/>
      <c r="D12" s="64"/>
      <c r="E12" s="63"/>
      <c r="F12" s="63"/>
      <c r="G12" s="65"/>
    </row>
    <row r="13" spans="1:7">
      <c r="A13" s="21"/>
      <c r="B13" s="21"/>
      <c r="C13" s="21"/>
      <c r="D13" s="21"/>
      <c r="E13" s="21"/>
      <c r="F13" s="21"/>
      <c r="G13" s="21"/>
    </row>
    <row r="14" spans="1:7">
      <c r="A14" s="34"/>
      <c r="B14" s="21"/>
      <c r="C14" s="21"/>
      <c r="D14" s="21"/>
      <c r="E14" s="21"/>
      <c r="F14" s="34"/>
      <c r="G14" s="21"/>
    </row>
    <row r="15" spans="1:7">
      <c r="A15" s="21"/>
      <c r="B15" s="21"/>
      <c r="C15" s="21"/>
      <c r="D15" s="21"/>
      <c r="E15" s="21"/>
      <c r="F15" s="44"/>
      <c r="G15" s="21"/>
    </row>
    <row r="16" spans="1:7">
      <c r="A16" s="21"/>
      <c r="B16" s="21"/>
      <c r="C16" s="21"/>
      <c r="D16" s="21"/>
      <c r="E16" s="21"/>
      <c r="F16" s="45"/>
      <c r="G16" s="21"/>
    </row>
    <row r="17" spans="1:7">
      <c r="A17" s="21"/>
      <c r="B17" s="21"/>
      <c r="C17" s="21"/>
      <c r="D17" s="21"/>
      <c r="E17" s="21"/>
      <c r="F17" s="48"/>
      <c r="G17" s="21"/>
    </row>
    <row r="18" spans="1:7">
      <c r="A18" s="21"/>
      <c r="B18" s="21"/>
      <c r="C18" s="21"/>
      <c r="D18" s="21"/>
      <c r="E18" s="21"/>
      <c r="F18" s="46"/>
      <c r="G18" s="21"/>
    </row>
    <row r="19" spans="1:7">
      <c r="A19" s="21"/>
      <c r="B19" s="21"/>
      <c r="C19" s="21"/>
      <c r="D19" s="21"/>
      <c r="E19" s="21"/>
      <c r="F19" s="47"/>
      <c r="G19" s="21"/>
    </row>
    <row r="20" spans="1:7">
      <c r="A20" s="21"/>
      <c r="B20" s="21"/>
      <c r="C20" s="21"/>
      <c r="D20" s="21"/>
      <c r="E20" s="21"/>
      <c r="F20" s="21"/>
      <c r="G20" s="21"/>
    </row>
    <row r="21" spans="1:7">
      <c r="A21" s="21"/>
      <c r="B21" s="21"/>
      <c r="C21" s="21"/>
      <c r="D21" s="21"/>
      <c r="E21" s="21"/>
      <c r="F21" s="21"/>
      <c r="G21" s="21"/>
    </row>
    <row r="22" spans="1:7">
      <c r="A22" s="21"/>
      <c r="B22" s="21"/>
      <c r="C22" s="21"/>
      <c r="D22" s="21"/>
      <c r="E22" s="21"/>
      <c r="F22" s="21"/>
      <c r="G22" s="21"/>
    </row>
  </sheetData>
  <mergeCells count="1">
    <mergeCell ref="A1:G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5"/>
  <sheetViews>
    <sheetView showGridLines="0" topLeftCell="A20" zoomScale="125" zoomScaleNormal="125" zoomScalePageLayoutView="125" workbookViewId="0">
      <selection activeCell="A20" sqref="A1:A1048576"/>
    </sheetView>
  </sheetViews>
  <sheetFormatPr baseColWidth="10" defaultColWidth="8.5703125" defaultRowHeight="13" x14ac:dyDescent="0"/>
  <cols>
    <col min="1" max="5" width="22.5703125" style="4" customWidth="1"/>
    <col min="6" max="16384" width="8.5703125" style="4"/>
  </cols>
  <sheetData>
    <row r="1" spans="1:5" s="1" customFormat="1" ht="59.25" customHeight="1">
      <c r="A1" s="118">
        <v>42614</v>
      </c>
      <c r="B1" s="118"/>
      <c r="C1" s="118"/>
      <c r="D1" s="118"/>
      <c r="E1" s="118"/>
    </row>
    <row r="2" spans="1:5" s="3" customFormat="1" ht="21.75" customHeight="1">
      <c r="A2" s="39" t="s">
        <v>1</v>
      </c>
      <c r="B2" s="40" t="s">
        <v>2</v>
      </c>
      <c r="C2" s="40" t="s">
        <v>3</v>
      </c>
      <c r="D2" s="40" t="s">
        <v>4</v>
      </c>
      <c r="E2" s="41" t="s">
        <v>5</v>
      </c>
    </row>
    <row r="3" spans="1:5" ht="14" customHeight="1">
      <c r="A3" s="94"/>
      <c r="B3" s="94"/>
      <c r="C3" s="94"/>
      <c r="D3" s="99">
        <f>IF(AND(YEAR(SepSun1+4)=CalendarYear,MONTH(SepSun1+4)=9),SepSun1+4, "")</f>
        <v>42614</v>
      </c>
      <c r="E3" s="101">
        <f>IF(AND(YEAR(SepSun1+5)=CalendarYear,MONTH(SepSun1+5)=9),SepSun1+5, "")</f>
        <v>42615</v>
      </c>
    </row>
    <row r="4" spans="1:5" ht="58" customHeight="1">
      <c r="A4" s="97"/>
      <c r="B4" s="97"/>
      <c r="C4" s="97"/>
      <c r="D4" s="74"/>
      <c r="E4" s="103"/>
    </row>
    <row r="5" spans="1:5" ht="14" customHeight="1">
      <c r="A5" s="100">
        <f>IF(AND(YEAR(SepSun1+8)=CalendarYear,MONTH(SepSun1+8)=9),SepSun1+8, "")</f>
        <v>42618</v>
      </c>
      <c r="B5" s="99">
        <f>IF(AND(YEAR(SepSun1+9)=CalendarYear,MONTH(SepSun1+9)=9),SepSun1+9, "")</f>
        <v>42619</v>
      </c>
      <c r="C5" s="99">
        <f>IF(AND(YEAR(SepSun1+10)=CalendarYear,MONTH(SepSun1+10)=9),SepSun1+10, "")</f>
        <v>42620</v>
      </c>
      <c r="D5" s="99">
        <f>IF(AND(YEAR(SepSun1+11)=CalendarYear,MONTH(SepSun1+11)=9),SepSun1+11, "")</f>
        <v>42621</v>
      </c>
      <c r="E5" s="101">
        <f>IF(AND(YEAR(SepSun1+12)=CalendarYear,MONTH(SepSun1+12)=9),SepSun1+12,"")</f>
        <v>42622</v>
      </c>
    </row>
    <row r="6" spans="1:5" ht="58" customHeight="1">
      <c r="A6" s="102"/>
      <c r="B6" s="74"/>
      <c r="C6" s="74"/>
      <c r="D6" s="74"/>
      <c r="E6" s="103"/>
    </row>
    <row r="7" spans="1:5" ht="14" customHeight="1">
      <c r="A7" s="100">
        <f>IF(AND(YEAR(SepSun1+15)=CalendarYear,MONTH(SepSun1+15)=9),SepSun1+15, "")</f>
        <v>42625</v>
      </c>
      <c r="B7" s="99">
        <f>IF(AND(YEAR(SepSun1+16)=CalendarYear,MONTH(SepSun1+16)=9),SepSun1+16, "")</f>
        <v>42626</v>
      </c>
      <c r="C7" s="99">
        <f>IF(AND(YEAR(SepSun1+17)=CalendarYear,MONTH(SepSun1+17)=9),SepSun1+17, "")</f>
        <v>42627</v>
      </c>
      <c r="D7" s="99">
        <f>IF(AND(YEAR(SepSun1+18)=CalendarYear,MONTH(SepSun1+18)=9),SepSun1+18, "")</f>
        <v>42628</v>
      </c>
      <c r="E7" s="101">
        <f>IF(AND(YEAR(SepSun1+19)=CalendarYear,MONTH(SepSun1+19)=9),SepSun1+19, "")</f>
        <v>42629</v>
      </c>
    </row>
    <row r="8" spans="1:5" ht="58" customHeight="1">
      <c r="A8" s="104" t="s">
        <v>28</v>
      </c>
      <c r="B8" s="84" t="s">
        <v>20</v>
      </c>
      <c r="C8" s="74"/>
      <c r="D8" s="74"/>
      <c r="E8" s="103"/>
    </row>
    <row r="9" spans="1:5" ht="14" customHeight="1">
      <c r="A9" s="100">
        <f>IF(AND(YEAR(SepSun1+22)=CalendarYear,MONTH(SepSun1+22)=9),SepSun1+22, "")</f>
        <v>42632</v>
      </c>
      <c r="B9" s="99">
        <f>IF(AND(YEAR(SepSun1+23)=CalendarYear,MONTH(SepSun1+23)=9),SepSun1+23, "")</f>
        <v>42633</v>
      </c>
      <c r="C9" s="99">
        <f>IF(AND(YEAR(SepSun1+24)=CalendarYear,MONTH(SepSun1+24)=9),SepSun1+24, "")</f>
        <v>42634</v>
      </c>
      <c r="D9" s="99">
        <f>IF(AND(YEAR(SepSun1+25)=CalendarYear,MONTH(SepSun1+25)=9),SepSun1+25, "")</f>
        <v>42635</v>
      </c>
      <c r="E9" s="101">
        <f>IF(AND(YEAR(SepSun1+26)=CalendarYear,MONTH(SepSun1+26)=9),SepSun1+26, "")</f>
        <v>42636</v>
      </c>
    </row>
    <row r="10" spans="1:5" ht="81" customHeight="1">
      <c r="A10" s="102"/>
      <c r="B10" s="74"/>
      <c r="C10" s="74"/>
      <c r="D10" s="73" t="s">
        <v>29</v>
      </c>
      <c r="E10" s="103"/>
    </row>
    <row r="11" spans="1:5" ht="14" customHeight="1">
      <c r="A11" s="100">
        <f>IF(AND(YEAR(SepSun1+29)=CalendarYear,MONTH(SepSun1+29)=9),SepSun1+29, "")</f>
        <v>42639</v>
      </c>
      <c r="B11" s="99">
        <f>IF(AND(YEAR(SepSun1+30)=CalendarYear,MONTH(SepSun1+30)=9),SepSun1+30, "")</f>
        <v>42640</v>
      </c>
      <c r="C11" s="99">
        <f>IF(AND(YEAR(SepSun1+31)=CalendarYear,MONTH(SepSun1+31)=9),SepSun1+31, "")</f>
        <v>42641</v>
      </c>
      <c r="D11" s="99">
        <f>IF(AND(YEAR(SepSun1+32)=CalendarYear,MONTH(SepSun1+32)=9),SepSun1+32, "")</f>
        <v>42642</v>
      </c>
      <c r="E11" s="101">
        <f>IF(AND(YEAR(SepSun1+33)=CalendarYear,MONTH(SepSun1+33)=9),SepSun1+33, "")</f>
        <v>42643</v>
      </c>
    </row>
    <row r="12" spans="1:5" ht="101" customHeight="1">
      <c r="A12" s="105"/>
      <c r="B12" s="83"/>
      <c r="C12" s="96" t="s">
        <v>44</v>
      </c>
      <c r="D12" s="81"/>
      <c r="E12" s="106"/>
    </row>
    <row r="14" spans="1:5" s="21" customFormat="1">
      <c r="A14" s="34" t="s">
        <v>21</v>
      </c>
      <c r="D14" s="34" t="s">
        <v>30</v>
      </c>
    </row>
    <row r="15" spans="1:5" s="21" customFormat="1">
      <c r="D15" s="44" t="s">
        <v>31</v>
      </c>
    </row>
    <row r="16" spans="1:5" s="21" customFormat="1">
      <c r="D16" s="45" t="s">
        <v>32</v>
      </c>
    </row>
    <row r="17" spans="1:5">
      <c r="D17" s="48" t="s">
        <v>12</v>
      </c>
    </row>
    <row r="18" spans="1:5">
      <c r="D18" s="46" t="s">
        <v>34</v>
      </c>
    </row>
    <row r="19" spans="1:5">
      <c r="D19" s="47" t="s">
        <v>16</v>
      </c>
    </row>
    <row r="20" spans="1:5">
      <c r="D20" s="21" t="s">
        <v>33</v>
      </c>
    </row>
    <row r="22" spans="1:5" s="1" customFormat="1" ht="59.25" customHeight="1">
      <c r="A22" s="118">
        <v>42644</v>
      </c>
      <c r="B22" s="118"/>
      <c r="C22" s="118"/>
      <c r="D22" s="118"/>
      <c r="E22" s="118"/>
    </row>
    <row r="23" spans="1:5" ht="14">
      <c r="A23" s="39" t="s">
        <v>1</v>
      </c>
      <c r="B23" s="40" t="s">
        <v>2</v>
      </c>
      <c r="C23" s="40" t="s">
        <v>3</v>
      </c>
      <c r="D23" s="40" t="s">
        <v>4</v>
      </c>
      <c r="E23" s="41" t="s">
        <v>5</v>
      </c>
    </row>
    <row r="24" spans="1:5" ht="16">
      <c r="A24" s="100">
        <f>IF(AND(YEAR(OctSun1+8)=CalendarYear,MONTH(OctSun1+8)=10),OctSun1+8, "")</f>
        <v>42646</v>
      </c>
      <c r="B24" s="99">
        <f>IF(AND(YEAR(OctSun1+9)=CalendarYear,MONTH(OctSun1+9)=10),OctSun1+9, "")</f>
        <v>42647</v>
      </c>
      <c r="C24" s="99">
        <f>IF(AND(YEAR(OctSun1+10)=CalendarYear,MONTH(OctSun1+10)=10),OctSun1+10, "")</f>
        <v>42648</v>
      </c>
      <c r="D24" s="99">
        <f>IF(AND(YEAR(OctSun1+11)=CalendarYear,MONTH(OctSun1+11)=10),OctSun1+11, "")</f>
        <v>42649</v>
      </c>
      <c r="E24" s="101">
        <f>IF(AND(YEAR(OctSun1+12)=CalendarYear,MONTH(OctSun1+12)=10),OctSun1+12,"")</f>
        <v>42650</v>
      </c>
    </row>
    <row r="25" spans="1:5" ht="95" customHeight="1">
      <c r="A25" s="102"/>
      <c r="B25" s="74"/>
      <c r="C25" s="74" t="s">
        <v>48</v>
      </c>
      <c r="D25" s="73" t="s">
        <v>51</v>
      </c>
      <c r="E25" s="103"/>
    </row>
    <row r="26" spans="1:5" ht="16">
      <c r="A26" s="100">
        <f>IF(AND(YEAR(OctSun1+15)=CalendarYear,MONTH(OctSun1+15)=10),OctSun1+15, "")</f>
        <v>42653</v>
      </c>
      <c r="B26" s="99">
        <f>IF(AND(YEAR(OctSun1+16)=CalendarYear,MONTH(OctSun1+16)=10),OctSun1+16, "")</f>
        <v>42654</v>
      </c>
      <c r="C26" s="99">
        <f>IF(AND(YEAR(OctSun1+17)=CalendarYear,MONTH(OctSun1+17)=10),OctSun1+17, "")</f>
        <v>42655</v>
      </c>
      <c r="D26" s="99">
        <f>IF(AND(YEAR(OctSun1+18)=CalendarYear,MONTH(OctSun1+18)=10),OctSun1+18, "")</f>
        <v>42656</v>
      </c>
      <c r="E26" s="101">
        <f>IF(AND(YEAR(OctSun1+19)=CalendarYear,MONTH(OctSun1+19)=10),OctSun1+19, "")</f>
        <v>42657</v>
      </c>
    </row>
    <row r="27" spans="1:5" ht="90" customHeight="1">
      <c r="A27" s="102"/>
      <c r="B27" s="84" t="s">
        <v>20</v>
      </c>
      <c r="C27" s="73" t="s">
        <v>49</v>
      </c>
      <c r="D27" s="74"/>
      <c r="E27" s="103"/>
    </row>
    <row r="28" spans="1:5" ht="16">
      <c r="A28" s="100">
        <f>IF(AND(YEAR(OctSun1+22)=CalendarYear,MONTH(OctSun1+22)=10),OctSun1+22, "")</f>
        <v>42660</v>
      </c>
      <c r="B28" s="99">
        <f>IF(AND(YEAR(OctSun1+23)=CalendarYear,MONTH(OctSun1+23)=10),OctSun1+23, "")</f>
        <v>42661</v>
      </c>
      <c r="C28" s="99">
        <f>IF(AND(YEAR(OctSun1+24)=CalendarYear,MONTH(OctSun1+24)=10),OctSun1+24, "")</f>
        <v>42662</v>
      </c>
      <c r="D28" s="99">
        <f>IF(AND(YEAR(OctSun1+25)=CalendarYear,MONTH(OctSun1+25)=10),OctSun1+25, "")</f>
        <v>42663</v>
      </c>
      <c r="E28" s="101">
        <f>IF(AND(YEAR(OctSun1+26)=CalendarYear,MONTH(OctSun1+26)=10),OctSun1+26, "")</f>
        <v>42664</v>
      </c>
    </row>
    <row r="29" spans="1:5" ht="55" customHeight="1">
      <c r="A29" s="102" t="s">
        <v>24</v>
      </c>
      <c r="B29" s="74" t="s">
        <v>50</v>
      </c>
      <c r="C29" s="74"/>
      <c r="D29" s="74"/>
      <c r="E29" s="103"/>
    </row>
    <row r="30" spans="1:5" ht="16">
      <c r="A30" s="100">
        <f>IF(AND(YEAR(OctSun1+29)=CalendarYear,MONTH(OctSun1+29)=10),OctSun1+29, "")</f>
        <v>42667</v>
      </c>
      <c r="B30" s="99">
        <f>IF(AND(YEAR(OctSun1+30)=CalendarYear,MONTH(OctSun1+30)=10),OctSun1+30, "")</f>
        <v>42668</v>
      </c>
      <c r="C30" s="99">
        <f>IF(AND(YEAR(OctSun1+31)=CalendarYear,MONTH(OctSun1+31)=10),OctSun1+31, "")</f>
        <v>42669</v>
      </c>
      <c r="D30" s="99">
        <f>IF(AND(YEAR(OctSun1+32)=CalendarYear,MONTH(OctSun1+32)=10),OctSun1+32, "")</f>
        <v>42670</v>
      </c>
      <c r="E30" s="101">
        <f>IF(AND(YEAR(OctSun1+33)=CalendarYear,MONTH(OctSun1+33)=10),OctSun1+33, "")</f>
        <v>42671</v>
      </c>
    </row>
    <row r="31" spans="1:5" ht="85" customHeight="1">
      <c r="A31" s="102"/>
      <c r="B31" s="73" t="s">
        <v>36</v>
      </c>
      <c r="C31" s="74"/>
      <c r="D31" s="72"/>
      <c r="E31" s="107"/>
    </row>
    <row r="32" spans="1:5" ht="16">
      <c r="A32" s="109">
        <f>IF(AND(YEAR(OctSun1+36)=CalendarYear,MONTH(OctSun1+36)=10),OctSun1+36, "")</f>
        <v>42674</v>
      </c>
      <c r="B32" s="125" t="s">
        <v>8</v>
      </c>
      <c r="C32" s="125"/>
      <c r="D32" s="125"/>
      <c r="E32" s="126"/>
    </row>
    <row r="33" spans="1:5" ht="44" customHeight="1">
      <c r="A33" s="108" t="s">
        <v>19</v>
      </c>
      <c r="B33" s="127"/>
      <c r="C33" s="128"/>
      <c r="D33" s="128"/>
      <c r="E33" s="129"/>
    </row>
    <row r="34" spans="1:5">
      <c r="A34" s="21"/>
      <c r="B34" s="21"/>
      <c r="C34" s="21"/>
      <c r="D34" s="21"/>
      <c r="E34" s="21"/>
    </row>
    <row r="35" spans="1:5">
      <c r="A35" s="34" t="s">
        <v>21</v>
      </c>
      <c r="B35" s="21"/>
      <c r="C35" s="21"/>
      <c r="D35" s="21"/>
      <c r="E35" s="21"/>
    </row>
    <row r="36" spans="1:5">
      <c r="A36" s="21"/>
      <c r="B36" s="21"/>
      <c r="C36" s="21"/>
      <c r="D36" s="21"/>
      <c r="E36" s="34"/>
    </row>
    <row r="37" spans="1:5">
      <c r="A37" s="21"/>
      <c r="B37" s="21"/>
      <c r="C37" s="21"/>
      <c r="D37" s="21"/>
      <c r="E37" s="44"/>
    </row>
    <row r="38" spans="1:5">
      <c r="A38" s="21"/>
      <c r="B38" s="21"/>
      <c r="C38" s="21"/>
      <c r="D38" s="21"/>
      <c r="E38" s="45"/>
    </row>
    <row r="39" spans="1:5">
      <c r="A39" s="21"/>
      <c r="B39" s="21"/>
      <c r="C39" s="21"/>
      <c r="D39" s="21"/>
      <c r="E39" s="48"/>
    </row>
    <row r="40" spans="1:5">
      <c r="A40" s="21"/>
      <c r="B40" s="21"/>
      <c r="C40" s="21"/>
      <c r="D40" s="21"/>
      <c r="E40" s="46"/>
    </row>
    <row r="41" spans="1:5">
      <c r="A41" s="21"/>
      <c r="B41" s="21"/>
      <c r="C41" s="21"/>
      <c r="D41" s="21"/>
      <c r="E41" s="47"/>
    </row>
    <row r="42" spans="1:5">
      <c r="A42" s="21"/>
      <c r="B42" s="21"/>
      <c r="C42" s="21"/>
      <c r="D42" s="21"/>
      <c r="E42" s="21"/>
    </row>
    <row r="43" spans="1:5">
      <c r="A43" s="21"/>
      <c r="B43" s="21"/>
      <c r="C43" s="21"/>
      <c r="D43" s="21"/>
      <c r="E43" s="21"/>
    </row>
    <row r="44" spans="1:5">
      <c r="A44" s="21"/>
      <c r="B44" s="21"/>
      <c r="C44" s="21"/>
      <c r="D44" s="21"/>
      <c r="E44" s="21"/>
    </row>
    <row r="45" spans="1:5">
      <c r="A45" s="21"/>
      <c r="B45" s="21"/>
      <c r="C45" s="21"/>
      <c r="D45" s="21"/>
      <c r="E45" s="21"/>
    </row>
  </sheetData>
  <mergeCells count="4">
    <mergeCell ref="A1:E1"/>
    <mergeCell ref="A22:E22"/>
    <mergeCell ref="B32:E32"/>
    <mergeCell ref="B33:E33"/>
  </mergeCells>
  <phoneticPr fontId="2" type="noConversion"/>
  <printOptions horizontalCentered="1"/>
  <pageMargins left="0.25" right="0.25" top="0.75" bottom="0.75" header="0.3" footer="0.3"/>
  <pageSetup scale="58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5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3"/>
  <sheetViews>
    <sheetView showGridLines="0" tabSelected="1" zoomScale="125" zoomScaleNormal="125" zoomScalePageLayoutView="125" workbookViewId="0">
      <selection activeCell="C6" sqref="C6"/>
    </sheetView>
  </sheetViews>
  <sheetFormatPr baseColWidth="10" defaultColWidth="8.7109375" defaultRowHeight="13" x14ac:dyDescent="0"/>
  <cols>
    <col min="1" max="1" width="2.42578125" style="1" customWidth="1"/>
    <col min="2" max="8" width="17.5703125" style="4" customWidth="1"/>
    <col min="9" max="16384" width="8.7109375" style="4"/>
  </cols>
  <sheetData>
    <row r="1" spans="1:8" s="1" customFormat="1" ht="59.25" customHeight="1">
      <c r="B1" s="118">
        <f>DATE(CalendarYear,10,1)</f>
        <v>42644</v>
      </c>
      <c r="C1" s="118"/>
      <c r="D1" s="118"/>
      <c r="E1" s="118"/>
      <c r="F1" s="118"/>
      <c r="G1" s="118"/>
      <c r="H1" s="118"/>
    </row>
    <row r="2" spans="1:8" s="3" customFormat="1" ht="21.75" customHeight="1">
      <c r="A2" s="2"/>
      <c r="B2" s="39" t="s">
        <v>0</v>
      </c>
      <c r="C2" s="40" t="s">
        <v>1</v>
      </c>
      <c r="D2" s="40" t="s">
        <v>2</v>
      </c>
      <c r="E2" s="40" t="s">
        <v>3</v>
      </c>
      <c r="F2" s="40" t="s">
        <v>4</v>
      </c>
      <c r="G2" s="40" t="s">
        <v>5</v>
      </c>
      <c r="H2" s="41" t="s">
        <v>6</v>
      </c>
    </row>
    <row r="3" spans="1:8" s="70" customFormat="1" ht="14" customHeight="1">
      <c r="A3" s="66"/>
      <c r="B3" s="67" t="str">
        <f>IF(AND(YEAR(OctSun1)=CalendarYear,MONTH(OctSun1)=10),OctSun1, "")</f>
        <v/>
      </c>
      <c r="C3" s="68" t="str">
        <f>IF(AND(YEAR(OctSun1+1)=CalendarYear,MONTH(OctSun1+1)=10),OctSun1+1, "")</f>
        <v/>
      </c>
      <c r="D3" s="68" t="str">
        <f>IF(AND(YEAR(OctSun1+2)=CalendarYear,MONTH(OctSun1+2)=10),OctSun1+2, "")</f>
        <v/>
      </c>
      <c r="E3" s="68" t="str">
        <f>IF(AND(YEAR(OctSun1+3)=CalendarYear,MONTH(OctSun1+3)=10),OctSun1+3, "")</f>
        <v/>
      </c>
      <c r="F3" s="68" t="str">
        <f>IF(AND(YEAR(OctSun1+4)=CalendarYear,MONTH(OctSun1+4)=10),OctSun1+4, "")</f>
        <v/>
      </c>
      <c r="G3" s="68" t="str">
        <f>IF(AND(YEAR(OctSun1+5)=CalendarYear,MONTH(OctSun1+5)=10),OctSun1+5, "")</f>
        <v/>
      </c>
      <c r="H3" s="69">
        <f>IF(AND(YEAR(OctSun1+6)=CalendarYear,MONTH(OctSun1+6)=10),OctSun1+6, "")</f>
        <v>42644</v>
      </c>
    </row>
    <row r="4" spans="1:8" s="70" customFormat="1" ht="58" customHeight="1">
      <c r="A4" s="66"/>
      <c r="B4" s="71"/>
      <c r="C4" s="72"/>
      <c r="D4" s="74"/>
      <c r="E4" s="74"/>
      <c r="F4" s="74"/>
      <c r="G4" s="74"/>
      <c r="H4" s="75"/>
    </row>
    <row r="5" spans="1:8" s="70" customFormat="1" ht="14" customHeight="1">
      <c r="A5" s="66"/>
      <c r="B5" s="76">
        <f>IF(AND(YEAR(OctSun1+7)=CalendarYear,MONTH(OctSun1+7)=10),OctSun1+7, "")</f>
        <v>42645</v>
      </c>
      <c r="C5" s="68">
        <f>IF(AND(YEAR(OctSun1+8)=CalendarYear,MONTH(OctSun1+8)=10),OctSun1+8, "")</f>
        <v>42646</v>
      </c>
      <c r="D5" s="68">
        <f>IF(AND(YEAR(OctSun1+9)=CalendarYear,MONTH(OctSun1+9)=10),OctSun1+9, "")</f>
        <v>42647</v>
      </c>
      <c r="E5" s="68">
        <f>IF(AND(YEAR(OctSun1+10)=CalendarYear,MONTH(OctSun1+10)=10),OctSun1+10, "")</f>
        <v>42648</v>
      </c>
      <c r="F5" s="68">
        <f>IF(AND(YEAR(OctSun1+11)=CalendarYear,MONTH(OctSun1+11)=10),OctSun1+11, "")</f>
        <v>42649</v>
      </c>
      <c r="G5" s="68">
        <f>IF(AND(YEAR(OctSun1+12)=CalendarYear,MONTH(OctSun1+12)=10),OctSun1+12,"")</f>
        <v>42650</v>
      </c>
      <c r="H5" s="69">
        <f>IF(AND(YEAR(OctSun1+13)=CalendarYear,MONTH(OctSun1+13)=10),OctSun1+13, "")</f>
        <v>42651</v>
      </c>
    </row>
    <row r="6" spans="1:8" s="70" customFormat="1" ht="119" customHeight="1">
      <c r="A6" s="66"/>
      <c r="B6" s="71"/>
      <c r="C6" s="72"/>
      <c r="D6" s="74"/>
      <c r="E6" s="74" t="s">
        <v>40</v>
      </c>
      <c r="F6" s="73" t="s">
        <v>39</v>
      </c>
      <c r="G6" s="74"/>
      <c r="H6" s="75"/>
    </row>
    <row r="7" spans="1:8" s="70" customFormat="1" ht="14" customHeight="1">
      <c r="A7" s="66"/>
      <c r="B7" s="76">
        <f>IF(AND(YEAR(OctSun1+14)=CalendarYear,MONTH(OctSun1+14)=10),OctSun1+14, "")</f>
        <v>42652</v>
      </c>
      <c r="C7" s="68">
        <f>IF(AND(YEAR(OctSun1+15)=CalendarYear,MONTH(OctSun1+15)=10),OctSun1+15, "")</f>
        <v>42653</v>
      </c>
      <c r="D7" s="68">
        <f>IF(AND(YEAR(OctSun1+16)=CalendarYear,MONTH(OctSun1+16)=10),OctSun1+16, "")</f>
        <v>42654</v>
      </c>
      <c r="E7" s="68">
        <f>IF(AND(YEAR(OctSun1+17)=CalendarYear,MONTH(OctSun1+17)=10),OctSun1+17, "")</f>
        <v>42655</v>
      </c>
      <c r="F7" s="68">
        <f>IF(AND(YEAR(OctSun1+18)=CalendarYear,MONTH(OctSun1+18)=10),OctSun1+18, "")</f>
        <v>42656</v>
      </c>
      <c r="G7" s="68">
        <f>IF(AND(YEAR(OctSun1+19)=CalendarYear,MONTH(OctSun1+19)=10),OctSun1+19, "")</f>
        <v>42657</v>
      </c>
      <c r="H7" s="69">
        <f>IF(AND(YEAR(OctSun1+20)=CalendarYear,MONTH(OctSun1+20)=10),OctSun1+20, "")</f>
        <v>42658</v>
      </c>
    </row>
    <row r="8" spans="1:8" s="70" customFormat="1" ht="94" customHeight="1">
      <c r="A8" s="66"/>
      <c r="B8" s="71"/>
      <c r="C8" s="72"/>
      <c r="D8" s="84" t="s">
        <v>20</v>
      </c>
      <c r="E8" s="73" t="s">
        <v>41</v>
      </c>
      <c r="F8" s="74"/>
      <c r="G8" s="74"/>
      <c r="H8" s="75"/>
    </row>
    <row r="9" spans="1:8" s="70" customFormat="1" ht="14" customHeight="1">
      <c r="A9" s="66"/>
      <c r="B9" s="77">
        <f>IF(AND(YEAR(OctSun1+21)=CalendarYear,MONTH(OctSun1+21)=10),OctSun1+21, "")</f>
        <v>42659</v>
      </c>
      <c r="C9" s="78">
        <f>IF(AND(YEAR(OctSun1+22)=CalendarYear,MONTH(OctSun1+22)=10),OctSun1+22, "")</f>
        <v>42660</v>
      </c>
      <c r="D9" s="78">
        <f>IF(AND(YEAR(OctSun1+23)=CalendarYear,MONTH(OctSun1+23)=10),OctSun1+23, "")</f>
        <v>42661</v>
      </c>
      <c r="E9" s="78">
        <f>IF(AND(YEAR(OctSun1+24)=CalendarYear,MONTH(OctSun1+24)=10),OctSun1+24, "")</f>
        <v>42662</v>
      </c>
      <c r="F9" s="78">
        <f>IF(AND(YEAR(OctSun1+25)=CalendarYear,MONTH(OctSun1+25)=10),OctSun1+25, "")</f>
        <v>42663</v>
      </c>
      <c r="G9" s="78">
        <f>IF(AND(YEAR(OctSun1+26)=CalendarYear,MONTH(OctSun1+26)=10),OctSun1+26, "")</f>
        <v>42664</v>
      </c>
      <c r="H9" s="79">
        <f>IF(AND(YEAR(OctSun1+27)=CalendarYear,MONTH(OctSun1+27)=10),OctSun1+27, "")</f>
        <v>42665</v>
      </c>
    </row>
    <row r="10" spans="1:8" s="70" customFormat="1" ht="58" customHeight="1">
      <c r="A10" s="66"/>
      <c r="B10" s="71" t="s">
        <v>42</v>
      </c>
      <c r="C10" s="72" t="s">
        <v>43</v>
      </c>
      <c r="D10" s="74" t="s">
        <v>42</v>
      </c>
      <c r="E10" s="74"/>
      <c r="F10" s="74"/>
      <c r="G10" s="74"/>
      <c r="H10" s="75"/>
    </row>
    <row r="11" spans="1:8" s="70" customFormat="1" ht="14" customHeight="1">
      <c r="A11" s="66"/>
      <c r="B11" s="77">
        <f>IF(AND(YEAR(OctSun1+28)=CalendarYear,MONTH(OctSun1+28)=10),OctSun1+28, "")</f>
        <v>42666</v>
      </c>
      <c r="C11" s="78">
        <f>IF(AND(YEAR(OctSun1+29)=CalendarYear,MONTH(OctSun1+29)=10),OctSun1+29, "")</f>
        <v>42667</v>
      </c>
      <c r="D11" s="78">
        <f>IF(AND(YEAR(OctSun1+30)=CalendarYear,MONTH(OctSun1+30)=10),OctSun1+30, "")</f>
        <v>42668</v>
      </c>
      <c r="E11" s="78">
        <f>IF(AND(YEAR(OctSun1+31)=CalendarYear,MONTH(OctSun1+31)=10),OctSun1+31, "")</f>
        <v>42669</v>
      </c>
      <c r="F11" s="78">
        <f>IF(AND(YEAR(OctSun1+32)=CalendarYear,MONTH(OctSun1+32)=10),OctSun1+32, "")</f>
        <v>42670</v>
      </c>
      <c r="G11" s="78">
        <f>IF(AND(YEAR(OctSun1+33)=CalendarYear,MONTH(OctSun1+33)=10),OctSun1+33, "")</f>
        <v>42671</v>
      </c>
      <c r="H11" s="79">
        <f>IF(AND(YEAR(OctSun1+34)=CalendarYear,MONTH(OctSun1+34)=10),OctSun1+34, "")</f>
        <v>42672</v>
      </c>
    </row>
    <row r="12" spans="1:8" s="70" customFormat="1" ht="115" customHeight="1">
      <c r="A12" s="66"/>
      <c r="B12" s="71"/>
      <c r="C12" s="72"/>
      <c r="D12" s="73" t="s">
        <v>36</v>
      </c>
      <c r="E12" s="74"/>
      <c r="F12" s="72"/>
      <c r="G12" s="72"/>
      <c r="H12" s="75"/>
    </row>
    <row r="13" spans="1:8" s="70" customFormat="1" ht="14" customHeight="1">
      <c r="A13" s="66"/>
      <c r="B13" s="85">
        <f>IF(AND(YEAR(OctSun1+35)=CalendarYear,MONTH(OctSun1+35)=10),OctSun1+35, "")</f>
        <v>42673</v>
      </c>
      <c r="C13" s="86">
        <f>IF(AND(YEAR(OctSun1+36)=CalendarYear,MONTH(OctSun1+36)=10),OctSun1+36, "")</f>
        <v>42674</v>
      </c>
      <c r="D13" s="125" t="s">
        <v>8</v>
      </c>
      <c r="E13" s="125"/>
      <c r="F13" s="125"/>
      <c r="G13" s="125"/>
      <c r="H13" s="126"/>
    </row>
    <row r="14" spans="1:8" s="70" customFormat="1" ht="58" customHeight="1">
      <c r="A14" s="66"/>
      <c r="B14" s="80"/>
      <c r="C14" s="82" t="s">
        <v>46</v>
      </c>
      <c r="D14" s="127"/>
      <c r="E14" s="128"/>
      <c r="F14" s="128"/>
      <c r="G14" s="128"/>
      <c r="H14" s="129"/>
    </row>
    <row r="16" spans="1:8">
      <c r="A16" s="38"/>
      <c r="B16" s="34" t="s">
        <v>21</v>
      </c>
      <c r="C16" s="34"/>
      <c r="D16" s="21"/>
      <c r="E16" s="21"/>
      <c r="F16" s="21"/>
      <c r="G16" s="21"/>
      <c r="H16" s="21"/>
    </row>
    <row r="17" spans="1:8">
      <c r="A17" s="38"/>
      <c r="B17" s="21"/>
      <c r="C17" s="21"/>
      <c r="D17" s="21"/>
      <c r="E17" s="21"/>
      <c r="F17" s="21"/>
      <c r="G17" s="34" t="s">
        <v>30</v>
      </c>
      <c r="H17" s="21"/>
    </row>
    <row r="18" spans="1:8">
      <c r="A18" s="38"/>
      <c r="B18" s="21"/>
      <c r="C18" s="21"/>
      <c r="D18" s="21"/>
      <c r="E18" s="21"/>
      <c r="F18" s="21"/>
      <c r="G18" s="44" t="s">
        <v>31</v>
      </c>
      <c r="H18" s="21"/>
    </row>
    <row r="19" spans="1:8">
      <c r="B19" s="21"/>
      <c r="G19" s="45" t="s">
        <v>32</v>
      </c>
    </row>
    <row r="20" spans="1:8">
      <c r="B20" s="21"/>
      <c r="G20" s="48" t="s">
        <v>12</v>
      </c>
    </row>
    <row r="21" spans="1:8">
      <c r="G21" s="46" t="s">
        <v>34</v>
      </c>
    </row>
    <row r="22" spans="1:8">
      <c r="G22" s="47" t="s">
        <v>16</v>
      </c>
    </row>
    <row r="23" spans="1:8">
      <c r="G23" s="21" t="s">
        <v>33</v>
      </c>
    </row>
  </sheetData>
  <mergeCells count="3">
    <mergeCell ref="B1:H1"/>
    <mergeCell ref="D13:H13"/>
    <mergeCell ref="D14:H14"/>
  </mergeCells>
  <phoneticPr fontId="2" type="noConversion"/>
  <printOptions horizontalCentered="1"/>
  <pageMargins left="0.5" right="0.5" top="0.75" bottom="0.75" header="0.5" footer="0.5"/>
  <pageSetup scale="61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5"/>
  <sheetViews>
    <sheetView showGridLines="0" topLeftCell="A17" zoomScale="125" zoomScaleNormal="125" zoomScalePageLayoutView="125" workbookViewId="0">
      <selection sqref="A1:E42"/>
    </sheetView>
  </sheetViews>
  <sheetFormatPr baseColWidth="10" defaultColWidth="8.7109375" defaultRowHeight="13" x14ac:dyDescent="0"/>
  <cols>
    <col min="1" max="5" width="25.140625" style="4" customWidth="1"/>
    <col min="6" max="16384" width="8.7109375" style="4"/>
  </cols>
  <sheetData>
    <row r="1" spans="1:5" s="1" customFormat="1" ht="59.25" customHeight="1">
      <c r="A1" s="118">
        <v>42675</v>
      </c>
      <c r="B1" s="118"/>
      <c r="C1" s="118"/>
      <c r="D1" s="118"/>
      <c r="E1" s="118"/>
    </row>
    <row r="2" spans="1:5" s="3" customFormat="1" ht="21.75" customHeight="1">
      <c r="A2" s="39" t="s">
        <v>1</v>
      </c>
      <c r="B2" s="40" t="s">
        <v>2</v>
      </c>
      <c r="C2" s="40" t="s">
        <v>3</v>
      </c>
      <c r="D2" s="40" t="s">
        <v>4</v>
      </c>
      <c r="E2" s="41" t="s">
        <v>5</v>
      </c>
    </row>
    <row r="3" spans="1:5" s="70" customFormat="1" ht="14" customHeight="1">
      <c r="A3" s="113"/>
      <c r="B3" s="99">
        <f>IF(AND(YEAR(NovSun1+2)=CalendarYear,MONTH(NovSun1+2)=11),NovSun1+2, "")</f>
        <v>42675</v>
      </c>
      <c r="C3" s="99">
        <f>IF(AND(YEAR(NovSun1+3)=CalendarYear,MONTH(NovSun1+3)=11),NovSun1+3, "")</f>
        <v>42676</v>
      </c>
      <c r="D3" s="99">
        <f>IF(AND(YEAR(NovSun1+4)=CalendarYear,MONTH(NovSun1+4)=11),NovSun1+4, "")</f>
        <v>42677</v>
      </c>
      <c r="E3" s="101">
        <f>IF(AND(YEAR(NovSun1+5)=CalendarYear,MONTH(NovSun1+5)=11),NovSun1+5, "")</f>
        <v>42678</v>
      </c>
    </row>
    <row r="4" spans="1:5" s="70" customFormat="1" ht="73" customHeight="1">
      <c r="A4" s="116"/>
      <c r="B4" s="117" t="s">
        <v>37</v>
      </c>
      <c r="C4" s="74"/>
      <c r="D4" s="74"/>
      <c r="E4" s="103"/>
    </row>
    <row r="5" spans="1:5" s="70" customFormat="1" ht="14" customHeight="1">
      <c r="A5" s="109">
        <f>IF(AND(YEAR(NovSun1+8)=CalendarYear,MONTH(NovSun1+8)=11),NovSun1+8, "")</f>
        <v>42681</v>
      </c>
      <c r="B5" s="99">
        <f>IF(AND(YEAR(NovSun1+9)=CalendarYear,MONTH(NovSun1+9)=11),NovSun1+9, "")</f>
        <v>42682</v>
      </c>
      <c r="C5" s="99">
        <f>IF(AND(YEAR(NovSun1+10)=CalendarYear,MONTH(NovSun1+10)=11),NovSun1+10, "")</f>
        <v>42683</v>
      </c>
      <c r="D5" s="99">
        <f>IF(AND(YEAR(NovSun1+11)=CalendarYear,MONTH(NovSun1+11)=11),NovSun1+11, "")</f>
        <v>42684</v>
      </c>
      <c r="E5" s="101">
        <f>IF(AND(YEAR(NovSun1+12)=CalendarYear,MONTH(NovSun1+12)=11),NovSun1+12,"")</f>
        <v>42685</v>
      </c>
    </row>
    <row r="6" spans="1:5" s="70" customFormat="1" ht="100" customHeight="1">
      <c r="A6" s="102"/>
      <c r="B6" s="74" t="s">
        <v>45</v>
      </c>
      <c r="C6" s="74"/>
      <c r="D6" s="74"/>
      <c r="E6" s="103"/>
    </row>
    <row r="7" spans="1:5" s="70" customFormat="1" ht="14" customHeight="1">
      <c r="A7" s="100">
        <f>IF(AND(YEAR(NovSun1+15)=CalendarYear,MONTH(NovSun1+15)=11),NovSun1+15, "")</f>
        <v>42688</v>
      </c>
      <c r="B7" s="99">
        <f>IF(AND(YEAR(NovSun1+16)=CalendarYear,MONTH(NovSun1+16)=11),NovSun1+16, "")</f>
        <v>42689</v>
      </c>
      <c r="C7" s="99">
        <f>IF(AND(YEAR(NovSun1+17)=CalendarYear,MONTH(NovSun1+17)=11),NovSun1+17, "")</f>
        <v>42690</v>
      </c>
      <c r="D7" s="99">
        <f>IF(AND(YEAR(NovSun1+18)=CalendarYear,MONTH(NovSun1+18)=11),NovSun1+18, "")</f>
        <v>42691</v>
      </c>
      <c r="E7" s="101">
        <f>IF(AND(YEAR(NovSun1+19)=CalendarYear,MONTH(NovSun1+19)=11),NovSun1+19, "")</f>
        <v>42692</v>
      </c>
    </row>
    <row r="8" spans="1:5" s="70" customFormat="1" ht="71" customHeight="1">
      <c r="A8" s="102"/>
      <c r="B8" s="74"/>
      <c r="C8" s="74"/>
      <c r="D8" s="74"/>
      <c r="E8" s="103" t="s">
        <v>38</v>
      </c>
    </row>
    <row r="9" spans="1:5" s="70" customFormat="1" ht="14" customHeight="1">
      <c r="A9" s="100">
        <f>IF(AND(YEAR(NovSun1+22)=CalendarYear,MONTH(NovSun1+22)=11),NovSun1+22, "")</f>
        <v>42695</v>
      </c>
      <c r="B9" s="99">
        <f>IF(AND(YEAR(NovSun1+23)=CalendarYear,MONTH(NovSun1+23)=11),NovSun1+23, "")</f>
        <v>42696</v>
      </c>
      <c r="C9" s="99">
        <f>IF(AND(YEAR(NovSun1+24)=CalendarYear,MONTH(NovSun1+24)=11),NovSun1+24, "")</f>
        <v>42697</v>
      </c>
      <c r="D9" s="99">
        <f>IF(AND(YEAR(NovSun1+25)=CalendarYear,MONTH(NovSun1+25)=11),NovSun1+25, "")</f>
        <v>42698</v>
      </c>
      <c r="E9" s="101">
        <f>IF(AND(YEAR(NovSun1+26)=CalendarYear,MONTH(NovSun1+26)=11),NovSun1+26, "")</f>
        <v>42699</v>
      </c>
    </row>
    <row r="10" spans="1:5" s="70" customFormat="1" ht="58" customHeight="1">
      <c r="A10" s="102"/>
      <c r="B10" s="74"/>
      <c r="C10" s="74"/>
      <c r="D10" s="74"/>
      <c r="E10" s="103"/>
    </row>
    <row r="11" spans="1:5" s="70" customFormat="1" ht="14" customHeight="1">
      <c r="A11" s="100">
        <f>IF(AND(YEAR(NovSun1+29)=CalendarYear,MONTH(NovSun1+29)=11),NovSun1+29, "")</f>
        <v>42702</v>
      </c>
      <c r="B11" s="99">
        <f>IF(AND(YEAR(NovSun1+30)=CalendarYear,MONTH(NovSun1+30)=11),NovSun1+30, "")</f>
        <v>42703</v>
      </c>
      <c r="C11" s="99">
        <f>IF(AND(YEAR(NovSun1+31)=CalendarYear,MONTH(NovSun1+31)=11),NovSun1+31, "")</f>
        <v>42704</v>
      </c>
      <c r="D11" s="94" t="s">
        <v>13</v>
      </c>
      <c r="E11" s="110"/>
    </row>
    <row r="12" spans="1:5" s="70" customFormat="1" ht="48" customHeight="1">
      <c r="A12" s="105"/>
      <c r="B12" s="82" t="s">
        <v>19</v>
      </c>
      <c r="C12" s="83"/>
      <c r="D12" s="97"/>
      <c r="E12" s="111"/>
    </row>
    <row r="14" spans="1:5">
      <c r="A14" s="34" t="s">
        <v>21</v>
      </c>
    </row>
    <row r="15" spans="1:5">
      <c r="A15" s="21" t="s">
        <v>35</v>
      </c>
    </row>
    <row r="16" spans="1:5" s="21" customFormat="1">
      <c r="A16" s="21" t="s">
        <v>27</v>
      </c>
    </row>
    <row r="18" spans="1:5">
      <c r="D18" s="34" t="s">
        <v>30</v>
      </c>
    </row>
    <row r="19" spans="1:5">
      <c r="D19" s="44" t="s">
        <v>31</v>
      </c>
    </row>
    <row r="20" spans="1:5">
      <c r="D20" s="45" t="s">
        <v>32</v>
      </c>
    </row>
    <row r="21" spans="1:5">
      <c r="D21" s="48" t="s">
        <v>12</v>
      </c>
    </row>
    <row r="22" spans="1:5">
      <c r="D22" s="46" t="s">
        <v>34</v>
      </c>
    </row>
    <row r="23" spans="1:5">
      <c r="D23" s="47" t="s">
        <v>16</v>
      </c>
    </row>
    <row r="24" spans="1:5">
      <c r="D24" s="21" t="s">
        <v>33</v>
      </c>
    </row>
    <row r="26" spans="1:5" s="1" customFormat="1" ht="59.25" customHeight="1">
      <c r="A26" s="118">
        <v>42705</v>
      </c>
      <c r="B26" s="118"/>
      <c r="C26" s="118"/>
      <c r="D26" s="118"/>
      <c r="E26" s="118"/>
    </row>
    <row r="27" spans="1:5" ht="14">
      <c r="A27" s="39" t="s">
        <v>1</v>
      </c>
      <c r="B27" s="40" t="s">
        <v>2</v>
      </c>
      <c r="C27" s="40" t="s">
        <v>3</v>
      </c>
      <c r="D27" s="40" t="s">
        <v>4</v>
      </c>
      <c r="E27" s="41" t="s">
        <v>5</v>
      </c>
    </row>
    <row r="28" spans="1:5" ht="16">
      <c r="A28" s="130" t="s">
        <v>13</v>
      </c>
      <c r="B28" s="131"/>
      <c r="C28" s="132"/>
      <c r="D28" s="99">
        <f>IF(AND(YEAR(DecSun1+4)=CalendarYear,MONTH(DecSun1+4)=12),DecSun1+4, "")</f>
        <v>42705</v>
      </c>
      <c r="E28" s="101">
        <f>IF(AND(YEAR(DecSun1+5)=CalendarYear,MONTH(DecSun1+5)=12),DecSun1+5, "")</f>
        <v>42706</v>
      </c>
    </row>
    <row r="29" spans="1:5" ht="45" customHeight="1">
      <c r="A29" s="116"/>
      <c r="B29" s="115"/>
      <c r="C29" s="115"/>
      <c r="D29" s="112"/>
      <c r="E29" s="103"/>
    </row>
    <row r="30" spans="1:5" ht="16">
      <c r="A30" s="109">
        <f>IF(AND(YEAR(DecSun1+8)=CalendarYear,MONTH(DecSun1+8)=12),DecSun1+8, "")</f>
        <v>42709</v>
      </c>
      <c r="B30" s="114">
        <f>IF(AND(YEAR(DecSun1+9)=CalendarYear,MONTH(DecSun1+9)=12),DecSun1+9, "")</f>
        <v>42710</v>
      </c>
      <c r="C30" s="114">
        <f>IF(AND(YEAR(DecSun1+10)=CalendarYear,MONTH(DecSun1+10)=12),DecSun1+10, "")</f>
        <v>42711</v>
      </c>
      <c r="D30" s="99">
        <f>IF(AND(YEAR(DecSun1+11)=CalendarYear,MONTH(DecSun1+11)=12),DecSun1+11, "")</f>
        <v>42712</v>
      </c>
      <c r="E30" s="101">
        <f>IF(AND(YEAR(DecSun1+12)=CalendarYear,MONTH(DecSun1+12)=12),DecSun1+12,"")</f>
        <v>42713</v>
      </c>
    </row>
    <row r="31" spans="1:5" ht="85" customHeight="1">
      <c r="A31" s="102"/>
      <c r="B31" s="74" t="s">
        <v>47</v>
      </c>
      <c r="C31" s="74"/>
      <c r="D31" s="74"/>
      <c r="E31" s="103"/>
    </row>
    <row r="32" spans="1:5" ht="16">
      <c r="A32" s="100">
        <f>IF(AND(YEAR(DecSun1+15)=CalendarYear,MONTH(DecSun1+15)=12),DecSun1+15, "")</f>
        <v>42716</v>
      </c>
      <c r="B32" s="99">
        <f>IF(AND(YEAR(DecSun1+16)=CalendarYear,MONTH(DecSun1+16)=12),DecSun1+16, "")</f>
        <v>42717</v>
      </c>
      <c r="C32" s="99">
        <f>IF(AND(YEAR(DecSun1+17)=CalendarYear,MONTH(DecSun1+17)=12),DecSun1+17, "")</f>
        <v>42718</v>
      </c>
      <c r="D32" s="99">
        <f>IF(AND(YEAR(DecSun1+18)=CalendarYear,MONTH(DecSun1+18)=12),DecSun1+18, "")</f>
        <v>42719</v>
      </c>
      <c r="E32" s="101">
        <f>IF(AND(YEAR(DecSun1+19)=CalendarYear,MONTH(DecSun1+19)=12),DecSun1+19, "")</f>
        <v>42720</v>
      </c>
    </row>
    <row r="33" spans="1:5" ht="46" customHeight="1">
      <c r="A33" s="102"/>
      <c r="B33" s="74"/>
      <c r="C33" s="74"/>
      <c r="D33" s="74"/>
      <c r="E33" s="103"/>
    </row>
    <row r="34" spans="1:5" ht="16">
      <c r="A34" s="100">
        <f>IF(AND(YEAR(DecSun1+22)=CalendarYear,MONTH(DecSun1+22)=12),DecSun1+22, "")</f>
        <v>42723</v>
      </c>
      <c r="B34" s="99">
        <f>IF(AND(YEAR(DecSun1+23)=CalendarYear,MONTH(DecSun1+23)=12),DecSun1+23, "")</f>
        <v>42724</v>
      </c>
      <c r="C34" s="99">
        <f>IF(AND(YEAR(DecSun1+24)=CalendarYear,MONTH(DecSun1+24)=12),DecSun1+24, "")</f>
        <v>42725</v>
      </c>
      <c r="D34" s="99">
        <f>IF(AND(YEAR(DecSun1+25)=CalendarYear,MONTH(DecSun1+25)=12),DecSun1+25, "")</f>
        <v>42726</v>
      </c>
      <c r="E34" s="101">
        <f>IF(AND(YEAR(DecSun1+26)=CalendarYear,MONTH(DecSun1+26)=12),DecSun1+26, "")</f>
        <v>42727</v>
      </c>
    </row>
    <row r="35" spans="1:5" ht="45" customHeight="1">
      <c r="A35" s="102"/>
      <c r="B35" s="74"/>
      <c r="C35" s="74"/>
      <c r="D35" s="74"/>
      <c r="E35" s="103"/>
    </row>
    <row r="36" spans="1:5" ht="16">
      <c r="A36" s="100">
        <f>IF(AND(YEAR(DecSun1+29)=CalendarYear,MONTH(DecSun1+29)=12),DecSun1+29, "")</f>
        <v>42730</v>
      </c>
      <c r="B36" s="99">
        <f>IF(AND(YEAR(DecSun1+30)=CalendarYear,MONTH(DecSun1+30)=12),DecSun1+30, "")</f>
        <v>42731</v>
      </c>
      <c r="C36" s="99">
        <f>IF(AND(YEAR(DecSun1+31)=CalendarYear,MONTH(DecSun1+31)=12),DecSun1+31, "")</f>
        <v>42732</v>
      </c>
      <c r="D36" s="99">
        <f>IF(AND(YEAR(DecSun1+32)=CalendarYear,MONTH(DecSun1+32)=12),DecSun1+32, "")</f>
        <v>42733</v>
      </c>
      <c r="E36" s="101">
        <f>IF(AND(YEAR(DecSun1+33)=CalendarYear,MONTH(DecSun1+33)=12),DecSun1+33, "")</f>
        <v>42734</v>
      </c>
    </row>
    <row r="37" spans="1:5" ht="43" customHeight="1">
      <c r="A37" s="105"/>
      <c r="B37" s="83"/>
      <c r="C37" s="83"/>
      <c r="D37" s="81"/>
      <c r="E37" s="106"/>
    </row>
    <row r="38" spans="1:5">
      <c r="A38" s="21"/>
      <c r="B38" s="21"/>
      <c r="C38" s="21"/>
      <c r="D38" s="21"/>
      <c r="E38" s="21"/>
    </row>
    <row r="39" spans="1:5">
      <c r="A39" s="34" t="s">
        <v>21</v>
      </c>
      <c r="B39" s="21"/>
      <c r="C39" s="21"/>
      <c r="D39" s="21"/>
      <c r="E39" s="21"/>
    </row>
    <row r="40" spans="1:5">
      <c r="A40" s="21" t="s">
        <v>25</v>
      </c>
      <c r="B40" s="21"/>
      <c r="C40" s="21"/>
      <c r="D40" s="21"/>
      <c r="E40" s="21"/>
    </row>
    <row r="41" spans="1:5">
      <c r="A41" s="21" t="s">
        <v>26</v>
      </c>
      <c r="B41" s="21"/>
      <c r="C41" s="21"/>
      <c r="D41" s="21"/>
      <c r="E41" s="21"/>
    </row>
    <row r="42" spans="1:5">
      <c r="A42" s="21"/>
      <c r="B42" s="21"/>
      <c r="C42" s="21"/>
      <c r="D42" s="21"/>
      <c r="E42" s="21"/>
    </row>
    <row r="43" spans="1:5">
      <c r="A43" s="21"/>
      <c r="B43" s="21"/>
      <c r="C43" s="21"/>
      <c r="D43" s="21"/>
      <c r="E43" s="21"/>
    </row>
    <row r="44" spans="1:5">
      <c r="A44" s="21"/>
      <c r="B44" s="21"/>
      <c r="C44" s="21"/>
      <c r="D44" s="21"/>
      <c r="E44" s="21"/>
    </row>
    <row r="45" spans="1:5">
      <c r="A45" s="21"/>
      <c r="B45" s="21"/>
      <c r="C45" s="21"/>
      <c r="D45" s="21"/>
      <c r="E45" s="21"/>
    </row>
  </sheetData>
  <mergeCells count="3">
    <mergeCell ref="A28:C28"/>
    <mergeCell ref="A1:E1"/>
    <mergeCell ref="A26:E26"/>
  </mergeCells>
  <phoneticPr fontId="2" type="noConversion"/>
  <printOptions horizontalCentered="1"/>
  <pageMargins left="0.5" right="0.5" top="0.75" bottom="0.75" header="0.5" footer="0.5"/>
  <pageSetup scale="60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8"/>
  <sheetViews>
    <sheetView showGridLines="0" zoomScale="125" zoomScaleNormal="125" zoomScalePageLayoutView="125" workbookViewId="0">
      <selection sqref="A1:H20"/>
    </sheetView>
  </sheetViews>
  <sheetFormatPr baseColWidth="10" defaultColWidth="8.7109375" defaultRowHeight="13" x14ac:dyDescent="0"/>
  <cols>
    <col min="1" max="1" width="2.42578125" style="1" customWidth="1"/>
    <col min="2" max="8" width="17.5703125" style="4" customWidth="1"/>
    <col min="9" max="16384" width="8.7109375" style="4"/>
  </cols>
  <sheetData>
    <row r="1" spans="1:8" s="1" customFormat="1" ht="59.25" customHeight="1" thickBot="1">
      <c r="B1" s="133">
        <f>DATE(CalendarYear,12,1)</f>
        <v>42705</v>
      </c>
      <c r="C1" s="133"/>
      <c r="D1" s="133"/>
      <c r="E1" s="133"/>
      <c r="F1" s="133"/>
      <c r="G1" s="133"/>
      <c r="H1" s="133"/>
    </row>
    <row r="2" spans="1:8" s="3" customFormat="1" ht="21.75" customHeight="1">
      <c r="A2" s="2"/>
      <c r="B2" s="18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20" t="s">
        <v>6</v>
      </c>
    </row>
    <row r="3" spans="1:8" ht="14" customHeight="1">
      <c r="B3" s="87" t="str">
        <f>IF(AND(YEAR(DecSun1)=CalendarYear,MONTH(DecSun1)=12),DecSun1, "")</f>
        <v/>
      </c>
      <c r="C3" s="68" t="str">
        <f>IF(AND(YEAR(DecSun1+1)=CalendarYear,MONTH(DecSun1+1)=12),DecSun1+1, "")</f>
        <v/>
      </c>
      <c r="D3" s="68" t="str">
        <f>IF(AND(YEAR(DecSun1+2)=CalendarYear,MONTH(DecSun1+2)=12),DecSun1+2, "")</f>
        <v/>
      </c>
      <c r="E3" s="68" t="str">
        <f>IF(AND(YEAR(DecSun1+3)=CalendarYear,MONTH(DecSun1+3)=12),DecSun1+3, "")</f>
        <v/>
      </c>
      <c r="F3" s="68">
        <f>IF(AND(YEAR(DecSun1+4)=CalendarYear,MONTH(DecSun1+4)=12),DecSun1+4, "")</f>
        <v>42705</v>
      </c>
      <c r="G3" s="68">
        <f>IF(AND(YEAR(DecSun1+5)=CalendarYear,MONTH(DecSun1+5)=12),DecSun1+5, "")</f>
        <v>42706</v>
      </c>
      <c r="H3" s="88">
        <f>IF(AND(YEAR(DecSun1+6)=CalendarYear,MONTH(DecSun1+6)=12),DecSun1+6, "")</f>
        <v>42707</v>
      </c>
    </row>
    <row r="4" spans="1:8" ht="58" customHeight="1">
      <c r="B4" s="89"/>
      <c r="C4" s="72"/>
      <c r="D4" s="74"/>
      <c r="E4" s="74"/>
      <c r="F4" s="74"/>
      <c r="G4" s="74"/>
      <c r="H4" s="90"/>
    </row>
    <row r="5" spans="1:8" ht="14" customHeight="1">
      <c r="B5" s="91">
        <f>IF(AND(YEAR(DecSun1+7)=CalendarYear,MONTH(DecSun1+7)=12),DecSun1+7, "")</f>
        <v>42708</v>
      </c>
      <c r="C5" s="68">
        <f>IF(AND(YEAR(DecSun1+8)=CalendarYear,MONTH(DecSun1+8)=12),DecSun1+8, "")</f>
        <v>42709</v>
      </c>
      <c r="D5" s="68">
        <f>IF(AND(YEAR(DecSun1+9)=CalendarYear,MONTH(DecSun1+9)=12),DecSun1+9, "")</f>
        <v>42710</v>
      </c>
      <c r="E5" s="68">
        <f>IF(AND(YEAR(DecSun1+10)=CalendarYear,MONTH(DecSun1+10)=12),DecSun1+10, "")</f>
        <v>42711</v>
      </c>
      <c r="F5" s="68">
        <f>IF(AND(YEAR(DecSun1+11)=CalendarYear,MONTH(DecSun1+11)=12),DecSun1+11, "")</f>
        <v>42712</v>
      </c>
      <c r="G5" s="68">
        <f>IF(AND(YEAR(DecSun1+12)=CalendarYear,MONTH(DecSun1+12)=12),DecSun1+12,"")</f>
        <v>42713</v>
      </c>
      <c r="H5" s="88">
        <f>IF(AND(YEAR(DecSun1+13)=CalendarYear,MONTH(DecSun1+13)=12),DecSun1+13, "")</f>
        <v>42714</v>
      </c>
    </row>
    <row r="6" spans="1:8" ht="123" customHeight="1">
      <c r="B6" s="89"/>
      <c r="C6" s="72"/>
      <c r="D6" s="74" t="s">
        <v>47</v>
      </c>
      <c r="E6" s="74"/>
      <c r="F6" s="74"/>
      <c r="G6" s="74"/>
      <c r="H6" s="90"/>
    </row>
    <row r="7" spans="1:8" ht="14" customHeight="1">
      <c r="B7" s="91">
        <f>IF(AND(YEAR(DecSun1+14)=CalendarYear,MONTH(DecSun1+14)=12),DecSun1+14, "")</f>
        <v>42715</v>
      </c>
      <c r="C7" s="68">
        <f>IF(AND(YEAR(DecSun1+15)=CalendarYear,MONTH(DecSun1+15)=12),DecSun1+15, "")</f>
        <v>42716</v>
      </c>
      <c r="D7" s="68">
        <f>IF(AND(YEAR(DecSun1+16)=CalendarYear,MONTH(DecSun1+16)=12),DecSun1+16, "")</f>
        <v>42717</v>
      </c>
      <c r="E7" s="68">
        <f>IF(AND(YEAR(DecSun1+17)=CalendarYear,MONTH(DecSun1+17)=12),DecSun1+17, "")</f>
        <v>42718</v>
      </c>
      <c r="F7" s="68">
        <f>IF(AND(YEAR(DecSun1+18)=CalendarYear,MONTH(DecSun1+18)=12),DecSun1+18, "")</f>
        <v>42719</v>
      </c>
      <c r="G7" s="68">
        <f>IF(AND(YEAR(DecSun1+19)=CalendarYear,MONTH(DecSun1+19)=12),DecSun1+19, "")</f>
        <v>42720</v>
      </c>
      <c r="H7" s="88">
        <f>IF(AND(YEAR(DecSun1+20)=CalendarYear,MONTH(DecSun1+20)=12),DecSun1+20, "")</f>
        <v>42721</v>
      </c>
    </row>
    <row r="8" spans="1:8" ht="58" customHeight="1">
      <c r="B8" s="89"/>
      <c r="C8" s="72"/>
      <c r="D8" s="74"/>
      <c r="E8" s="74"/>
      <c r="F8" s="74"/>
      <c r="G8" s="74"/>
      <c r="H8" s="90"/>
    </row>
    <row r="9" spans="1:8" ht="14" customHeight="1">
      <c r="B9" s="92">
        <f>IF(AND(YEAR(DecSun1+21)=CalendarYear,MONTH(DecSun1+21)=12),DecSun1+21, "")</f>
        <v>42722</v>
      </c>
      <c r="C9" s="78">
        <f>IF(AND(YEAR(DecSun1+22)=CalendarYear,MONTH(DecSun1+22)=12),DecSun1+22, "")</f>
        <v>42723</v>
      </c>
      <c r="D9" s="78">
        <f>IF(AND(YEAR(DecSun1+23)=CalendarYear,MONTH(DecSun1+23)=12),DecSun1+23, "")</f>
        <v>42724</v>
      </c>
      <c r="E9" s="78">
        <f>IF(AND(YEAR(DecSun1+24)=CalendarYear,MONTH(DecSun1+24)=12),DecSun1+24, "")</f>
        <v>42725</v>
      </c>
      <c r="F9" s="78">
        <f>IF(AND(YEAR(DecSun1+25)=CalendarYear,MONTH(DecSun1+25)=12),DecSun1+25, "")</f>
        <v>42726</v>
      </c>
      <c r="G9" s="78">
        <f>IF(AND(YEAR(DecSun1+26)=CalendarYear,MONTH(DecSun1+26)=12),DecSun1+26, "")</f>
        <v>42727</v>
      </c>
      <c r="H9" s="93">
        <f>IF(AND(YEAR(DecSun1+27)=CalendarYear,MONTH(DecSun1+27)=12),DecSun1+27, "")</f>
        <v>42728</v>
      </c>
    </row>
    <row r="10" spans="1:8" ht="58" customHeight="1">
      <c r="B10" s="89"/>
      <c r="C10" s="72"/>
      <c r="D10" s="74"/>
      <c r="E10" s="74"/>
      <c r="F10" s="74"/>
      <c r="G10" s="74"/>
      <c r="H10" s="90"/>
    </row>
    <row r="11" spans="1:8" ht="14" customHeight="1">
      <c r="B11" s="92">
        <f>IF(AND(YEAR(DecSun1+28)=CalendarYear,MONTH(DecSun1+28)=12),DecSun1+28, "")</f>
        <v>42729</v>
      </c>
      <c r="C11" s="78">
        <f>IF(AND(YEAR(DecSun1+29)=CalendarYear,MONTH(DecSun1+29)=12),DecSun1+29, "")</f>
        <v>42730</v>
      </c>
      <c r="D11" s="78">
        <f>IF(AND(YEAR(DecSun1+30)=CalendarYear,MONTH(DecSun1+30)=12),DecSun1+30, "")</f>
        <v>42731</v>
      </c>
      <c r="E11" s="78">
        <f>IF(AND(YEAR(DecSun1+31)=CalendarYear,MONTH(DecSun1+31)=12),DecSun1+31, "")</f>
        <v>42732</v>
      </c>
      <c r="F11" s="78">
        <f>IF(AND(YEAR(DecSun1+32)=CalendarYear,MONTH(DecSun1+32)=12),DecSun1+32, "")</f>
        <v>42733</v>
      </c>
      <c r="G11" s="78">
        <f>IF(AND(YEAR(DecSun1+33)=CalendarYear,MONTH(DecSun1+33)=12),DecSun1+33, "")</f>
        <v>42734</v>
      </c>
      <c r="H11" s="93">
        <f>IF(AND(YEAR(DecSun1+34)=CalendarYear,MONTH(DecSun1+34)=12),DecSun1+34, "")</f>
        <v>42735</v>
      </c>
    </row>
    <row r="12" spans="1:8" ht="58" customHeight="1">
      <c r="B12" s="95"/>
      <c r="C12" s="81"/>
      <c r="D12" s="83"/>
      <c r="E12" s="83"/>
      <c r="F12" s="81"/>
      <c r="G12" s="81"/>
      <c r="H12" s="98"/>
    </row>
    <row r="14" spans="1:8">
      <c r="B14" s="34" t="s">
        <v>21</v>
      </c>
    </row>
    <row r="15" spans="1:8" s="21" customFormat="1">
      <c r="A15" s="1"/>
      <c r="B15" s="21" t="s">
        <v>25</v>
      </c>
    </row>
    <row r="16" spans="1:8">
      <c r="B16" s="21" t="s">
        <v>26</v>
      </c>
    </row>
    <row r="17" spans="2:2">
      <c r="B17" s="21"/>
    </row>
    <row r="18" spans="2:2">
      <c r="B18" s="21"/>
    </row>
  </sheetData>
  <mergeCells count="1">
    <mergeCell ref="B1:H1"/>
  </mergeCells>
  <phoneticPr fontId="2" type="noConversion"/>
  <printOptions horizontalCentered="1"/>
  <pageMargins left="0.5" right="0.5" top="0.75" bottom="0.75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1"/>
  <sheetViews>
    <sheetView showGridLines="0" workbookViewId="0">
      <selection activeCell="B16" sqref="B16:B21"/>
    </sheetView>
  </sheetViews>
  <sheetFormatPr baseColWidth="10" defaultColWidth="8.7109375" defaultRowHeight="13" x14ac:dyDescent="0"/>
  <cols>
    <col min="1" max="1" width="2.42578125" style="1" customWidth="1"/>
    <col min="2" max="8" width="17.5703125" style="4" customWidth="1"/>
    <col min="9" max="9" width="8.7109375" style="4"/>
    <col min="10" max="10" width="15.28515625" style="4" customWidth="1"/>
    <col min="11" max="11" width="16.7109375" style="4" customWidth="1"/>
    <col min="12" max="16384" width="8.7109375" style="4"/>
  </cols>
  <sheetData>
    <row r="1" spans="1:11" s="1" customFormat="1" ht="59.25" customHeight="1" thickBot="1">
      <c r="B1" s="118">
        <f>DATE(2017,1,1)</f>
        <v>42736</v>
      </c>
      <c r="C1" s="118"/>
      <c r="D1" s="118"/>
      <c r="E1" s="118"/>
      <c r="F1" s="118"/>
      <c r="G1" s="118"/>
      <c r="H1" s="118"/>
      <c r="J1" s="7" t="s">
        <v>10</v>
      </c>
      <c r="K1" s="8">
        <v>2016</v>
      </c>
    </row>
    <row r="2" spans="1:11" s="3" customFormat="1" ht="21.75" customHeight="1">
      <c r="A2" s="2"/>
      <c r="B2" s="15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6</v>
      </c>
    </row>
    <row r="3" spans="1:11" s="21" customFormat="1" ht="14" customHeight="1">
      <c r="A3" s="1"/>
      <c r="B3" s="9" t="str">
        <f>IF(AND(YEAR(JanSun1)=CalendarYear,MONTH(JanSun1)=1),JanSun1, "")</f>
        <v/>
      </c>
      <c r="C3" s="5" t="str">
        <f>IF(AND(YEAR(JanSun1+1)=CalendarYear,MONTH(JanSun1+1)=1),JanSun1+1, "")</f>
        <v/>
      </c>
      <c r="D3" s="5" t="str">
        <f>IF(AND(YEAR(JanSun1+2)=CalendarYear,MONTH(JanSun1+2)=1),JanSun1+2, "")</f>
        <v/>
      </c>
      <c r="E3" s="5" t="str">
        <f>IF(AND(YEAR(JanSun1+3)=CalendarYear,MONTH(JanSun1+3)=1),JanSun1+3, "")</f>
        <v/>
      </c>
      <c r="F3" s="5" t="str">
        <f>IF(AND(YEAR(JanSun1+4)=CalendarYear,MONTH(JanSun1+4)=1),JanSun1+4, "")</f>
        <v/>
      </c>
      <c r="G3" s="5">
        <f>IF(AND(YEAR(JanSun1+5)=CalendarYear,MONTH(JanSun1+5)=1),JanSun1+5, "")</f>
        <v>42370</v>
      </c>
      <c r="H3" s="10">
        <f>IF(AND(YEAR(JanSun1+6)=CalendarYear,MONTH(JanSun1+6)=1),JanSun1+6, "")</f>
        <v>42371</v>
      </c>
    </row>
    <row r="4" spans="1:11" s="21" customFormat="1" ht="58" customHeight="1">
      <c r="A4" s="1"/>
      <c r="B4" s="29" t="s">
        <v>11</v>
      </c>
      <c r="C4" s="25"/>
      <c r="D4" s="26"/>
      <c r="E4" s="26"/>
      <c r="F4" s="26"/>
      <c r="G4" s="26"/>
      <c r="H4" s="30"/>
    </row>
    <row r="5" spans="1:11" s="21" customFormat="1" ht="14" customHeight="1">
      <c r="A5" s="1"/>
      <c r="B5" s="11">
        <f>IF(AND(YEAR(JanSun1+7)=CalendarYear,MONTH(JanSun1+7)=1),JanSun1+7, "")</f>
        <v>42372</v>
      </c>
      <c r="C5" s="5">
        <f>IF(AND(YEAR(JanSun1+8)=CalendarYear,MONTH(JanSun1+8)=1),JanSun1+8, "")</f>
        <v>42373</v>
      </c>
      <c r="D5" s="5">
        <f>IF(AND(YEAR(JanSun1+9)=CalendarYear,MONTH(JanSun1+9)=1),JanSun1+9, "")</f>
        <v>42374</v>
      </c>
      <c r="E5" s="5">
        <f>IF(AND(YEAR(JanSun1+10)=CalendarYear,MONTH(JanSun1+10)=1),JanSun1+10, "")</f>
        <v>42375</v>
      </c>
      <c r="F5" s="5">
        <f>IF(AND(YEAR(JanSun1+11)=CalendarYear,MONTH(JanSun1+11)=1),JanSun1+11, "")</f>
        <v>42376</v>
      </c>
      <c r="G5" s="5">
        <f>IF(AND(YEAR(JanSun1+12)=CalendarYear,MONTH(JanSun1+12)=1),JanSun1+12,"")</f>
        <v>42377</v>
      </c>
      <c r="H5" s="10">
        <f>IF(AND(YEAR(JanSun1+13)=CalendarYear,MONTH(JanSun1+13)=1),JanSun1+13, "")</f>
        <v>42378</v>
      </c>
    </row>
    <row r="6" spans="1:11" s="21" customFormat="1" ht="58" customHeight="1">
      <c r="A6" s="1"/>
      <c r="B6" s="29"/>
      <c r="C6" s="25"/>
      <c r="D6" s="26"/>
      <c r="E6" s="26"/>
      <c r="F6" s="26"/>
      <c r="G6" s="26"/>
      <c r="H6" s="30"/>
    </row>
    <row r="7" spans="1:11" s="21" customFormat="1" ht="14" customHeight="1">
      <c r="A7" s="1"/>
      <c r="B7" s="11">
        <f>IF(AND(YEAR(JanSun1+14)=CalendarYear,MONTH(JanSun1+14)=1),JanSun1+14, "")</f>
        <v>42379</v>
      </c>
      <c r="C7" s="5">
        <f>IF(AND(YEAR(JanSun1+15)=CalendarYear,MONTH(JanSun1+15)=1),JanSun1+15, "")</f>
        <v>42380</v>
      </c>
      <c r="D7" s="5">
        <f>IF(AND(YEAR(JanSun1+16)=CalendarYear,MONTH(JanSun1+16)=1),JanSun1+16, "")</f>
        <v>42381</v>
      </c>
      <c r="E7" s="5">
        <f>IF(AND(YEAR(JanSun1+17)=CalendarYear,MONTH(JanSun1+17)=1),JanSun1+17, "")</f>
        <v>42382</v>
      </c>
      <c r="F7" s="5">
        <f>IF(AND(YEAR(JanSun1+18)=CalendarYear,MONTH(JanSun1+18)=1),JanSun1+18, "")</f>
        <v>42383</v>
      </c>
      <c r="G7" s="5">
        <f>IF(AND(YEAR(JanSun1+19)=CalendarYear,MONTH(JanSun1+19)=1),JanSun1+19, "")</f>
        <v>42384</v>
      </c>
      <c r="H7" s="10">
        <f>IF(AND(YEAR(JanSun1+20)=CalendarYear,MONTH(JanSun1+20)=1),JanSun1+20, "")</f>
        <v>42385</v>
      </c>
    </row>
    <row r="8" spans="1:11" s="21" customFormat="1" ht="58" customHeight="1">
      <c r="A8" s="1"/>
      <c r="B8" s="29"/>
      <c r="C8" s="25"/>
      <c r="D8" s="26"/>
      <c r="E8" s="26"/>
      <c r="F8" s="26"/>
      <c r="G8" s="26"/>
      <c r="H8" s="30"/>
    </row>
    <row r="9" spans="1:11" s="21" customFormat="1" ht="14" customHeight="1">
      <c r="A9" s="1"/>
      <c r="B9" s="12">
        <f>IF(AND(YEAR(JanSun1+21)=CalendarYear,MONTH(JanSun1+21)=1),JanSun1+21, "")</f>
        <v>42386</v>
      </c>
      <c r="C9" s="6">
        <f>IF(AND(YEAR(JanSun1+22)=CalendarYear,MONTH(JanSun1+22)=1),JanSun1+22, "")</f>
        <v>42387</v>
      </c>
      <c r="D9" s="6">
        <f>IF(AND(YEAR(JanSun1+23)=CalendarYear,MONTH(JanSun1+23)=1),JanSun1+23, "")</f>
        <v>42388</v>
      </c>
      <c r="E9" s="6">
        <f>IF(AND(YEAR(JanSun1+24)=CalendarYear,MONTH(JanSun1+24)=1),JanSun1+24, "")</f>
        <v>42389</v>
      </c>
      <c r="F9" s="6">
        <f>IF(AND(YEAR(JanSun1+25)=CalendarYear,MONTH(JanSun1+25)=1),JanSun1+25, "")</f>
        <v>42390</v>
      </c>
      <c r="G9" s="6">
        <f>IF(AND(YEAR(JanSun1+26)=CalendarYear,MONTH(JanSun1+26)=1),JanSun1+26, "")</f>
        <v>42391</v>
      </c>
      <c r="H9" s="13">
        <f>IF(AND(YEAR(JanSun1+27)=CalendarYear,MONTH(JanSun1+27)=1),JanSun1+27, "")</f>
        <v>42392</v>
      </c>
    </row>
    <row r="10" spans="1:11" s="21" customFormat="1" ht="58" customHeight="1">
      <c r="A10" s="1"/>
      <c r="B10" s="29"/>
      <c r="C10" s="25"/>
      <c r="D10" s="26"/>
      <c r="E10" s="26"/>
      <c r="F10" s="26"/>
      <c r="G10" s="26"/>
      <c r="H10" s="30"/>
    </row>
    <row r="11" spans="1:11" s="21" customFormat="1" ht="14" customHeight="1">
      <c r="A11" s="1"/>
      <c r="B11" s="12">
        <f>IF(AND(YEAR(JanSun1+28)=CalendarYear,MONTH(JanSun1+28)=1),JanSun1+28, "")</f>
        <v>42393</v>
      </c>
      <c r="C11" s="6">
        <f>IF(AND(YEAR(JanSun1+29)=CalendarYear,MONTH(JanSun1+29)=1),JanSun1+29, "")</f>
        <v>42394</v>
      </c>
      <c r="D11" s="6">
        <f>IF(AND(YEAR(JanSun1+30)=CalendarYear,MONTH(JanSun1+30)=1),JanSun1+30, "")</f>
        <v>42395</v>
      </c>
      <c r="E11" s="6">
        <f>IF(AND(YEAR(JanSun1+31)=CalendarYear,MONTH(JanSun1+31)=1),JanSun1+31, "")</f>
        <v>42396</v>
      </c>
      <c r="F11" s="6">
        <f>IF(AND(YEAR(JanSun1+32)=CalendarYear,MONTH(JanSun1+32)=1),JanSun1+32, "")</f>
        <v>42397</v>
      </c>
      <c r="G11" s="6">
        <f>IF(AND(YEAR(JanSun1+33)=CalendarYear,MONTH(JanSun1+33)=1),JanSun1+33, "")</f>
        <v>42398</v>
      </c>
      <c r="H11" s="13">
        <f>IF(AND(YEAR(JanSun1+34)=CalendarYear,MONTH(JanSun1+34)=1),JanSun1+34, "")</f>
        <v>42399</v>
      </c>
    </row>
    <row r="12" spans="1:11" s="21" customFormat="1" ht="58" customHeight="1">
      <c r="A12" s="1"/>
      <c r="B12" s="29"/>
      <c r="C12" s="25"/>
      <c r="D12" s="26"/>
      <c r="E12" s="26"/>
      <c r="F12" s="25"/>
      <c r="G12" s="25"/>
      <c r="H12" s="30"/>
    </row>
    <row r="13" spans="1:11" s="21" customFormat="1" ht="14" customHeight="1">
      <c r="A13" s="1"/>
      <c r="B13" s="12">
        <f>IF(AND(YEAR(JanSun1+35)=CalendarYear,MONTH(JanSun1+35)=1),JanSun1+35, "")</f>
        <v>42400</v>
      </c>
      <c r="C13" s="6" t="str">
        <f>IF(AND(YEAR(JanSun1+36)=CalendarYear,MONTH(JanSun1+36)=1),JanSun1+36, "")</f>
        <v/>
      </c>
      <c r="D13" s="137" t="s">
        <v>8</v>
      </c>
      <c r="E13" s="137"/>
      <c r="F13" s="137"/>
      <c r="G13" s="137"/>
      <c r="H13" s="138"/>
    </row>
    <row r="14" spans="1:11" s="21" customFormat="1" ht="58" customHeight="1" thickBot="1">
      <c r="A14" s="1"/>
      <c r="B14" s="31"/>
      <c r="C14" s="27"/>
      <c r="D14" s="134"/>
      <c r="E14" s="135"/>
      <c r="F14" s="135"/>
      <c r="G14" s="135"/>
      <c r="H14" s="136"/>
    </row>
    <row r="15" spans="1:11" s="21" customFormat="1">
      <c r="A15" s="1"/>
    </row>
    <row r="16" spans="1:11">
      <c r="B16" s="34" t="s">
        <v>14</v>
      </c>
    </row>
    <row r="17" spans="2:2">
      <c r="B17" s="21" t="s">
        <v>12</v>
      </c>
    </row>
    <row r="18" spans="2:2">
      <c r="B18" s="21" t="s">
        <v>15</v>
      </c>
    </row>
    <row r="19" spans="2:2">
      <c r="B19" s="21" t="s">
        <v>16</v>
      </c>
    </row>
    <row r="20" spans="2:2">
      <c r="B20" s="21" t="s">
        <v>17</v>
      </c>
    </row>
    <row r="21" spans="2:2">
      <c r="B21" s="21" t="s">
        <v>18</v>
      </c>
    </row>
  </sheetData>
  <mergeCells count="3">
    <mergeCell ref="B1:H1"/>
    <mergeCell ref="D14:H14"/>
    <mergeCell ref="D13:H13"/>
  </mergeCells>
  <phoneticPr fontId="2" type="noConversion"/>
  <dataValidations count="1">
    <dataValidation type="list" allowBlank="1" showInputMessage="1" showErrorMessage="1" sqref="K1">
      <formula1>Year</formula1>
    </dataValidation>
  </dataValidations>
  <printOptions horizontalCentered="1"/>
  <pageMargins left="0.5" right="0.5" top="0.75" bottom="0.75" header="0.5" footer="0.5"/>
  <headerFooter alignWithMargins="0"/>
  <customProperties>
    <customPr name="SheetChanged" r:id="rId1"/>
  </customPropertie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1"/>
  <sheetViews>
    <sheetView showGridLines="0" workbookViewId="0">
      <selection activeCell="B16" sqref="B16:B21"/>
    </sheetView>
  </sheetViews>
  <sheetFormatPr baseColWidth="10" defaultColWidth="8.7109375" defaultRowHeight="13" x14ac:dyDescent="0"/>
  <cols>
    <col min="1" max="1" width="2.42578125" style="1" customWidth="1"/>
    <col min="2" max="8" width="17.5703125" style="4" customWidth="1"/>
    <col min="9" max="16384" width="8.7109375" style="4"/>
  </cols>
  <sheetData>
    <row r="1" spans="1:8" s="1" customFormat="1" ht="59.25" customHeight="1" thickBot="1">
      <c r="B1" s="118">
        <f>DATE(2017,2,1)</f>
        <v>42767</v>
      </c>
      <c r="C1" s="118"/>
      <c r="D1" s="118"/>
      <c r="E1" s="118"/>
      <c r="F1" s="118"/>
      <c r="G1" s="118"/>
      <c r="H1" s="118"/>
    </row>
    <row r="2" spans="1:8" s="3" customFormat="1" ht="21.75" customHeight="1">
      <c r="A2" s="2"/>
      <c r="B2" s="18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20" t="s">
        <v>6</v>
      </c>
    </row>
    <row r="3" spans="1:8" ht="14" customHeight="1">
      <c r="B3" s="9" t="str">
        <f>IF(AND(YEAR(FebSun1)=CalendarYear,MONTH(FebSun1)=2),FebSun1, "")</f>
        <v/>
      </c>
      <c r="C3" s="5">
        <f>IF(AND(YEAR(FebSun1+1)=CalendarYear,MONTH(FebSun1+1)=2),FebSun1+1, "")</f>
        <v>42401</v>
      </c>
      <c r="D3" s="5">
        <f>IF(AND(YEAR(FebSun1+2)=CalendarYear,MONTH(FebSun1+2)=2),FebSun1+2, "")</f>
        <v>42402</v>
      </c>
      <c r="E3" s="5">
        <f>IF(AND(YEAR(FebSun1+3)=CalendarYear,MONTH(FebSun1+3)=2),FebSun1+3, "")</f>
        <v>42403</v>
      </c>
      <c r="F3" s="5">
        <f>IF(AND(YEAR(FebSun1+4)=CalendarYear,MONTH(FebSun1+4)=2),FebSun1+4, "")</f>
        <v>42404</v>
      </c>
      <c r="G3" s="5">
        <f>IF(AND(YEAR(FebSun1+5)=CalendarYear,MONTH(FebSun1+5)=2),FebSun1+5, "")</f>
        <v>42405</v>
      </c>
      <c r="H3" s="10">
        <f>IF(AND(YEAR(FebSun1+6)=CalendarYear,MONTH(FebSun1+6)=2),FebSun1+6, "")</f>
        <v>42406</v>
      </c>
    </row>
    <row r="4" spans="1:8" ht="58" customHeight="1">
      <c r="B4" s="29"/>
      <c r="C4" s="25"/>
      <c r="D4" s="26"/>
      <c r="E4" s="26"/>
      <c r="F4" s="26"/>
      <c r="G4" s="26"/>
      <c r="H4" s="30"/>
    </row>
    <row r="5" spans="1:8" ht="14" customHeight="1">
      <c r="B5" s="11">
        <f>IF(AND(YEAR(FebSun1+7)=CalendarYear,MONTH(FebSun1+7)=2),FebSun1+7, "")</f>
        <v>42407</v>
      </c>
      <c r="C5" s="5">
        <f>IF(AND(YEAR(FebSun1+8)=CalendarYear,MONTH(FebSun1+8)=2),FebSun1+8, "")</f>
        <v>42408</v>
      </c>
      <c r="D5" s="5">
        <f>IF(AND(YEAR(FebSun1+9)=CalendarYear,MONTH(FebSun1+9)=2),FebSun1+9, "")</f>
        <v>42409</v>
      </c>
      <c r="E5" s="5">
        <f>IF(AND(YEAR(FebSun1+10)=CalendarYear,MONTH(FebSun1+10)=2),FebSun1+10, "")</f>
        <v>42410</v>
      </c>
      <c r="F5" s="5">
        <f>IF(AND(YEAR(FebSun1+11)=CalendarYear,MONTH(FebSun1+11)=2),FebSun1+11, "")</f>
        <v>42411</v>
      </c>
      <c r="G5" s="5">
        <f>IF(AND(YEAR(FebSun1+12)=CalendarYear,MONTH(FebSun1+12)=2),FebSun1+12,"")</f>
        <v>42412</v>
      </c>
      <c r="H5" s="10">
        <f>IF(AND(YEAR(FebSun1+13)=CalendarYear,MONTH(FebSun1+13)=2),FebSun1+13, "")</f>
        <v>42413</v>
      </c>
    </row>
    <row r="6" spans="1:8" ht="58" customHeight="1">
      <c r="B6" s="29"/>
      <c r="C6" s="25"/>
      <c r="D6" s="26"/>
      <c r="E6" s="26"/>
      <c r="F6" s="26"/>
      <c r="G6" s="26"/>
      <c r="H6" s="30"/>
    </row>
    <row r="7" spans="1:8" ht="14" customHeight="1">
      <c r="B7" s="11">
        <f>IF(AND(YEAR(FebSun1+14)=CalendarYear,MONTH(FebSun1+14)=2),FebSun1+14, "")</f>
        <v>42414</v>
      </c>
      <c r="C7" s="5">
        <f>IF(AND(YEAR(FebSun1+15)=CalendarYear,MONTH(FebSun1+15)=2),FebSun1+15, "")</f>
        <v>42415</v>
      </c>
      <c r="D7" s="5">
        <f>IF(AND(YEAR(FebSun1+16)=CalendarYear,MONTH(FebSun1+16)=2),FebSun1+16, "")</f>
        <v>42416</v>
      </c>
      <c r="E7" s="5">
        <f>IF(AND(YEAR(FebSun1+17)=CalendarYear,MONTH(FebSun1+17)=2),FebSun1+17, "")</f>
        <v>42417</v>
      </c>
      <c r="F7" s="5">
        <f>IF(AND(YEAR(FebSun1+18)=CalendarYear,MONTH(FebSun1+18)=2),FebSun1+18, "")</f>
        <v>42418</v>
      </c>
      <c r="G7" s="5">
        <f>IF(AND(YEAR(FebSun1+19)=CalendarYear,MONTH(FebSun1+19)=2),FebSun1+19, "")</f>
        <v>42419</v>
      </c>
      <c r="H7" s="10">
        <f>IF(AND(YEAR(FebSun1+20)=CalendarYear,MONTH(FebSun1+20)=2),FebSun1+20, "")</f>
        <v>42420</v>
      </c>
    </row>
    <row r="8" spans="1:8" ht="58" customHeight="1">
      <c r="B8" s="29"/>
      <c r="C8" s="25"/>
      <c r="D8" s="26"/>
      <c r="E8" s="26"/>
      <c r="F8" s="26"/>
      <c r="G8" s="26"/>
      <c r="H8" s="30"/>
    </row>
    <row r="9" spans="1:8" ht="14" customHeight="1">
      <c r="B9" s="12">
        <f>IF(AND(YEAR(FebSun1+21)=CalendarYear,MONTH(FebSun1+21)=2),FebSun1+21, "")</f>
        <v>42421</v>
      </c>
      <c r="C9" s="6">
        <f>IF(AND(YEAR(FebSun1+22)=CalendarYear,MONTH(FebSun1+22)=2),FebSun1+22, "")</f>
        <v>42422</v>
      </c>
      <c r="D9" s="6">
        <f>IF(AND(YEAR(FebSun1+23)=CalendarYear,MONTH(FebSun1+23)=2),FebSun1+23, "")</f>
        <v>42423</v>
      </c>
      <c r="E9" s="6">
        <f>IF(AND(YEAR(FebSun1+24)=CalendarYear,MONTH(FebSun1+24)=2),FebSun1+24, "")</f>
        <v>42424</v>
      </c>
      <c r="F9" s="6">
        <f>IF(AND(YEAR(FebSun1+25)=CalendarYear,MONTH(FebSun1+25)=2),FebSun1+25, "")</f>
        <v>42425</v>
      </c>
      <c r="G9" s="6">
        <f>IF(AND(YEAR(FebSun1+26)=CalendarYear,MONTH(FebSun1+26)=2),FebSun1+26, "")</f>
        <v>42426</v>
      </c>
      <c r="H9" s="13">
        <f>IF(AND(YEAR(FebSun1+27)=CalendarYear,MONTH(FebSun1+27)=2),FebSun1+27, "")</f>
        <v>42427</v>
      </c>
    </row>
    <row r="10" spans="1:8" ht="58" customHeight="1">
      <c r="B10" s="29"/>
      <c r="C10" s="25"/>
      <c r="D10" s="26"/>
      <c r="E10" s="26"/>
      <c r="F10" s="26"/>
      <c r="G10" s="26"/>
      <c r="H10" s="30"/>
    </row>
    <row r="11" spans="1:8" ht="14" customHeight="1">
      <c r="B11" s="12">
        <f>IF(AND(YEAR(FebSun1+28)=CalendarYear,MONTH(FebSun1+28)=2),FebSun1+28, "")</f>
        <v>42428</v>
      </c>
      <c r="C11" s="6">
        <f>IF(AND(YEAR(FebSun1+29)=CalendarYear,MONTH(FebSun1+29)=2),FebSun1+29, "")</f>
        <v>42429</v>
      </c>
      <c r="D11" s="6" t="str">
        <f>IF(AND(YEAR(FebSun1+30)=CalendarYear,MONTH(FebSun1+30)=2),FebSun1+30, "")</f>
        <v/>
      </c>
      <c r="E11" s="6" t="str">
        <f>IF(AND(YEAR(FebSun1+31)=CalendarYear,MONTH(FebSun1+31)=2),FebSun1+31, "")</f>
        <v/>
      </c>
      <c r="F11" s="6" t="str">
        <f>IF(AND(YEAR(FebSun1+32)=CalendarYear,MONTH(FebSun1+32)=2),FebSun1+32, "")</f>
        <v/>
      </c>
      <c r="G11" s="6" t="str">
        <f>IF(AND(YEAR(FebSun1+33)=CalendarYear,MONTH(FebSun1+33)=2),FebSun1+33, "")</f>
        <v/>
      </c>
      <c r="H11" s="13" t="str">
        <f>IF(AND(YEAR(FebSun1+34)=CalendarYear,MONTH(FebSun1+34)=2),FebSun1+34, "")</f>
        <v/>
      </c>
    </row>
    <row r="12" spans="1:8" ht="58" customHeight="1">
      <c r="B12" s="29"/>
      <c r="C12" s="25"/>
      <c r="D12" s="26"/>
      <c r="E12" s="26"/>
      <c r="F12" s="25"/>
      <c r="G12" s="25"/>
      <c r="H12" s="30"/>
    </row>
    <row r="13" spans="1:8" ht="14" customHeight="1">
      <c r="B13" s="140" t="s">
        <v>8</v>
      </c>
      <c r="C13" s="141"/>
      <c r="D13" s="141"/>
      <c r="E13" s="141"/>
      <c r="F13" s="141"/>
      <c r="G13" s="141"/>
      <c r="H13" s="142"/>
    </row>
    <row r="14" spans="1:8" ht="58" customHeight="1" thickBot="1">
      <c r="B14" s="139"/>
      <c r="C14" s="135"/>
      <c r="D14" s="135"/>
      <c r="E14" s="135"/>
      <c r="F14" s="135"/>
      <c r="G14" s="135"/>
      <c r="H14" s="136"/>
    </row>
    <row r="16" spans="1:8">
      <c r="B16" s="34" t="s">
        <v>14</v>
      </c>
    </row>
    <row r="17" spans="2:2">
      <c r="B17" s="21" t="s">
        <v>12</v>
      </c>
    </row>
    <row r="18" spans="2:2">
      <c r="B18" s="21" t="s">
        <v>15</v>
      </c>
    </row>
    <row r="19" spans="2:2">
      <c r="B19" s="21" t="s">
        <v>16</v>
      </c>
    </row>
    <row r="20" spans="2:2">
      <c r="B20" s="21" t="s">
        <v>17</v>
      </c>
    </row>
    <row r="21" spans="2:2">
      <c r="B21" s="21" t="s">
        <v>18</v>
      </c>
    </row>
  </sheetData>
  <mergeCells count="3">
    <mergeCell ref="B1:H1"/>
    <mergeCell ref="B14:H14"/>
    <mergeCell ref="B13:H13"/>
  </mergeCells>
  <phoneticPr fontId="2" type="noConversion"/>
  <printOptions horizont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1"/>
  <sheetViews>
    <sheetView showGridLines="0" workbookViewId="0">
      <selection activeCell="B16" sqref="B16:B21"/>
    </sheetView>
  </sheetViews>
  <sheetFormatPr baseColWidth="10" defaultColWidth="8.7109375" defaultRowHeight="13" x14ac:dyDescent="0"/>
  <cols>
    <col min="1" max="1" width="2.42578125" style="1" customWidth="1"/>
    <col min="2" max="8" width="17.5703125" style="4" customWidth="1"/>
    <col min="9" max="16384" width="8.7109375" style="4"/>
  </cols>
  <sheetData>
    <row r="1" spans="1:8" s="1" customFormat="1" ht="59.25" customHeight="1" thickBot="1">
      <c r="B1" s="118">
        <f>DATE(2017,3,1)</f>
        <v>42795</v>
      </c>
      <c r="C1" s="118"/>
      <c r="D1" s="118"/>
      <c r="E1" s="118"/>
      <c r="F1" s="118"/>
      <c r="G1" s="118"/>
      <c r="H1" s="118"/>
    </row>
    <row r="2" spans="1:8" s="3" customFormat="1" ht="21.75" customHeight="1">
      <c r="A2" s="2"/>
      <c r="B2" s="15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6</v>
      </c>
    </row>
    <row r="3" spans="1:8" ht="14" customHeight="1">
      <c r="B3" s="9" t="str">
        <f>IF(AND(YEAR(MarSun1)=CalendarYear,MONTH(MarSun1)=3),MarSun1, "")</f>
        <v/>
      </c>
      <c r="C3" s="5" t="str">
        <f>IF(AND(YEAR(MarSun1+1)=CalendarYear,MONTH(MarSun1+1)=3),MarSun1+1, "")</f>
        <v/>
      </c>
      <c r="D3" s="5">
        <f>IF(AND(YEAR(MarSun1+2)=CalendarYear,MONTH(MarSun1+2)=3),MarSun1+2, "")</f>
        <v>42430</v>
      </c>
      <c r="E3" s="5">
        <f>IF(AND(YEAR(MarSun1+3)=CalendarYear,MONTH(MarSun1+3)=3),MarSun1+3, "")</f>
        <v>42431</v>
      </c>
      <c r="F3" s="5">
        <f>IF(AND(YEAR(MarSun1+4)=CalendarYear,MONTH(MarSun1+4)=3),MarSun1+4, "")</f>
        <v>42432</v>
      </c>
      <c r="G3" s="5">
        <f>IF(AND(YEAR(MarSun1+5)=CalendarYear,MONTH(MarSun1+5)=3),MarSun1+5, "")</f>
        <v>42433</v>
      </c>
      <c r="H3" s="10">
        <f>IF(AND(YEAR(MarSun1+6)=CalendarYear,MONTH(MarSun1+6)=3),MarSun1+6, "")</f>
        <v>42434</v>
      </c>
    </row>
    <row r="4" spans="1:8" ht="58" customHeight="1">
      <c r="B4" s="29"/>
      <c r="C4" s="25"/>
      <c r="D4" s="26"/>
      <c r="E4" s="26"/>
      <c r="F4" s="26"/>
      <c r="G4" s="26"/>
      <c r="H4" s="30"/>
    </row>
    <row r="5" spans="1:8" ht="14" customHeight="1">
      <c r="B5" s="11">
        <f>IF(AND(YEAR(MarSun1+7)=CalendarYear,MONTH(MarSun1+7)=3),MarSun1+7, "")</f>
        <v>42435</v>
      </c>
      <c r="C5" s="5">
        <f>IF(AND(YEAR(MarSun1+8)=CalendarYear,MONTH(MarSun1+8)=3),MarSun1+8, "")</f>
        <v>42436</v>
      </c>
      <c r="D5" s="5">
        <f>IF(AND(YEAR(MarSun1+9)=CalendarYear,MONTH(MarSun1+9)=3),MarSun1+9, "")</f>
        <v>42437</v>
      </c>
      <c r="E5" s="5">
        <f>IF(AND(YEAR(MarSun1+10)=CalendarYear,MONTH(MarSun1+10)=3),MarSun1+10, "")</f>
        <v>42438</v>
      </c>
      <c r="F5" s="5">
        <f>IF(AND(YEAR(MarSun1+11)=CalendarYear,MONTH(MarSun1+11)=3),MarSun1+11, "")</f>
        <v>42439</v>
      </c>
      <c r="G5" s="5">
        <f>IF(AND(YEAR(MarSun1+12)=CalendarYear,MONTH(MarSun1+12)=3),MarSun1+12,"")</f>
        <v>42440</v>
      </c>
      <c r="H5" s="10">
        <f>IF(AND(YEAR(MarSun1+13)=CalendarYear,MONTH(MarSun1+13)=3),MarSun1+13, "")</f>
        <v>42441</v>
      </c>
    </row>
    <row r="6" spans="1:8" ht="58" customHeight="1">
      <c r="B6" s="29"/>
      <c r="C6" s="25"/>
      <c r="D6" s="26"/>
      <c r="E6" s="26"/>
      <c r="F6" s="26"/>
      <c r="G6" s="26"/>
      <c r="H6" s="30"/>
    </row>
    <row r="7" spans="1:8" ht="14" customHeight="1">
      <c r="B7" s="11">
        <f>IF(AND(YEAR(MarSun1+14)=CalendarYear,MONTH(MarSun1+14)=3),MarSun1+14, "")</f>
        <v>42442</v>
      </c>
      <c r="C7" s="5">
        <f>IF(AND(YEAR(MarSun1+15)=CalendarYear,MONTH(MarSun1+15)=3),MarSun1+15, "")</f>
        <v>42443</v>
      </c>
      <c r="D7" s="5">
        <f>IF(AND(YEAR(MarSun1+16)=CalendarYear,MONTH(MarSun1+16)=3),MarSun1+16, "")</f>
        <v>42444</v>
      </c>
      <c r="E7" s="5">
        <f>IF(AND(YEAR(MarSun1+17)=CalendarYear,MONTH(MarSun1+17)=3),MarSun1+17, "")</f>
        <v>42445</v>
      </c>
      <c r="F7" s="5">
        <f>IF(AND(YEAR(MarSun1+18)=CalendarYear,MONTH(MarSun1+18)=3),MarSun1+18, "")</f>
        <v>42446</v>
      </c>
      <c r="G7" s="5">
        <f>IF(AND(YEAR(MarSun1+19)=CalendarYear,MONTH(MarSun1+19)=3),MarSun1+19, "")</f>
        <v>42447</v>
      </c>
      <c r="H7" s="10">
        <f>IF(AND(YEAR(MarSun1+20)=CalendarYear,MONTH(MarSun1+20)=3),MarSun1+20, "")</f>
        <v>42448</v>
      </c>
    </row>
    <row r="8" spans="1:8" ht="58" customHeight="1">
      <c r="B8" s="29"/>
      <c r="C8" s="25"/>
      <c r="D8" s="26"/>
      <c r="E8" s="26"/>
      <c r="F8" s="26"/>
      <c r="G8" s="26"/>
      <c r="H8" s="30"/>
    </row>
    <row r="9" spans="1:8" ht="14" customHeight="1">
      <c r="B9" s="12">
        <f>IF(AND(YEAR(MarSun1+21)=CalendarYear,MONTH(MarSun1+21)=3),MarSun1+21, "")</f>
        <v>42449</v>
      </c>
      <c r="C9" s="6">
        <f>IF(AND(YEAR(MarSun1+22)=CalendarYear,MONTH(MarSun1+22)=3),MarSun1+22, "")</f>
        <v>42450</v>
      </c>
      <c r="D9" s="6">
        <f>IF(AND(YEAR(MarSun1+23)=CalendarYear,MONTH(MarSun1+23)=3),MarSun1+23, "")</f>
        <v>42451</v>
      </c>
      <c r="E9" s="6">
        <f>IF(AND(YEAR(MarSun1+24)=CalendarYear,MONTH(MarSun1+24)=3),MarSun1+24, "")</f>
        <v>42452</v>
      </c>
      <c r="F9" s="6">
        <f>IF(AND(YEAR(MarSun1+25)=CalendarYear,MONTH(MarSun1+25)=3),MarSun1+25, "")</f>
        <v>42453</v>
      </c>
      <c r="G9" s="6">
        <f>IF(AND(YEAR(MarSun1+26)=CalendarYear,MONTH(MarSun1+26)=3),MarSun1+26, "")</f>
        <v>42454</v>
      </c>
      <c r="H9" s="13">
        <f>IF(AND(YEAR(MarSun1+27)=CalendarYear,MONTH(MarSun1+27)=3),MarSun1+27, "")</f>
        <v>42455</v>
      </c>
    </row>
    <row r="10" spans="1:8" ht="58" customHeight="1">
      <c r="B10" s="29"/>
      <c r="C10" s="25"/>
      <c r="D10" s="26"/>
      <c r="E10" s="26"/>
      <c r="F10" s="26"/>
      <c r="G10" s="26"/>
      <c r="H10" s="30"/>
    </row>
    <row r="11" spans="1:8" ht="14" customHeight="1">
      <c r="B11" s="12">
        <f>IF(AND(YEAR(MarSun1+28)=CalendarYear,MONTH(MarSun1+28)=3),MarSun1+28, "")</f>
        <v>42456</v>
      </c>
      <c r="C11" s="6">
        <f>IF(AND(YEAR(MarSun1+29)=CalendarYear,MONTH(MarSun1+29)=3),MarSun1+29, "")</f>
        <v>42457</v>
      </c>
      <c r="D11" s="6">
        <f>IF(AND(YEAR(MarSun1+30)=CalendarYear,MONTH(MarSun1+30)=3),MarSun1+30, "")</f>
        <v>42458</v>
      </c>
      <c r="E11" s="6">
        <f>IF(AND(YEAR(MarSun1+31)=CalendarYear,MONTH(MarSun1+31)=3),MarSun1+31, "")</f>
        <v>42459</v>
      </c>
      <c r="F11" s="6">
        <f>IF(AND(YEAR(MarSun1+32)=CalendarYear,MONTH(MarSun1+32)=3),MarSun1+32, "")</f>
        <v>42460</v>
      </c>
      <c r="G11" s="6" t="str">
        <f>IF(AND(YEAR(MarSun1+33)=CalendarYear,MONTH(MarSun1+33)=3),MarSun1+33, "")</f>
        <v/>
      </c>
      <c r="H11" s="13" t="str">
        <f>IF(AND(YEAR(MarSun1+34)=CalendarYear,MONTH(MarSun1+34)=3),MarSun1+34, "")</f>
        <v/>
      </c>
    </row>
    <row r="12" spans="1:8" ht="58" customHeight="1">
      <c r="B12" s="29"/>
      <c r="C12" s="25"/>
      <c r="D12" s="26"/>
      <c r="E12" s="26"/>
      <c r="F12" s="25"/>
      <c r="G12" s="25"/>
      <c r="H12" s="30"/>
    </row>
    <row r="13" spans="1:8" ht="14" customHeight="1">
      <c r="B13" s="12" t="str">
        <f>IF(AND(YEAR(MarSun1+35)=CalendarYear,MONTH(MarSun1+35)=3),MarSun1+35, "")</f>
        <v/>
      </c>
      <c r="C13" s="6" t="str">
        <f>IF(AND(YEAR(MarSun1+36)=CalendarYear,MONTH(MarSun1+36)=3),MarSun1+36, "")</f>
        <v/>
      </c>
      <c r="D13" s="137" t="s">
        <v>8</v>
      </c>
      <c r="E13" s="137"/>
      <c r="F13" s="137"/>
      <c r="G13" s="137"/>
      <c r="H13" s="138"/>
    </row>
    <row r="14" spans="1:8" ht="58" customHeight="1" thickBot="1">
      <c r="B14" s="32"/>
      <c r="C14" s="14"/>
      <c r="D14" s="134"/>
      <c r="E14" s="135"/>
      <c r="F14" s="135"/>
      <c r="G14" s="135"/>
      <c r="H14" s="136"/>
    </row>
    <row r="16" spans="1:8">
      <c r="B16" s="34" t="s">
        <v>14</v>
      </c>
    </row>
    <row r="17" spans="2:2">
      <c r="B17" s="21" t="s">
        <v>12</v>
      </c>
    </row>
    <row r="18" spans="2:2">
      <c r="B18" s="21" t="s">
        <v>15</v>
      </c>
    </row>
    <row r="19" spans="2:2">
      <c r="B19" s="21" t="s">
        <v>16</v>
      </c>
    </row>
    <row r="20" spans="2:2">
      <c r="B20" s="21" t="s">
        <v>17</v>
      </c>
    </row>
    <row r="21" spans="2:2">
      <c r="B21" s="21" t="s">
        <v>18</v>
      </c>
    </row>
  </sheetData>
  <mergeCells count="3">
    <mergeCell ref="B1:H1"/>
    <mergeCell ref="D14:H14"/>
    <mergeCell ref="D13:H13"/>
  </mergeCells>
  <phoneticPr fontId="2" type="noConversion"/>
  <printOptions horizont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1"/>
  <sheetViews>
    <sheetView showGridLines="0" workbookViewId="0">
      <selection activeCell="B16" sqref="B16:B21"/>
    </sheetView>
  </sheetViews>
  <sheetFormatPr baseColWidth="10" defaultColWidth="8.7109375" defaultRowHeight="13" x14ac:dyDescent="0"/>
  <cols>
    <col min="1" max="1" width="2.42578125" style="1" customWidth="1"/>
    <col min="2" max="8" width="17.5703125" style="4" customWidth="1"/>
    <col min="9" max="16384" width="8.7109375" style="4"/>
  </cols>
  <sheetData>
    <row r="1" spans="1:8" s="1" customFormat="1" ht="59.25" customHeight="1" thickBot="1">
      <c r="B1" s="118">
        <f>DATE(2017,4,1)</f>
        <v>42826</v>
      </c>
      <c r="C1" s="118"/>
      <c r="D1" s="118"/>
      <c r="E1" s="118"/>
      <c r="F1" s="118"/>
      <c r="G1" s="118"/>
      <c r="H1" s="118"/>
    </row>
    <row r="2" spans="1:8" s="3" customFormat="1" ht="21.75" customHeight="1">
      <c r="A2" s="2"/>
      <c r="B2" s="18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20" t="s">
        <v>6</v>
      </c>
    </row>
    <row r="3" spans="1:8" ht="14" customHeight="1">
      <c r="B3" s="9" t="str">
        <f>IF(AND(YEAR(AprSun1)=CalendarYear,MONTH(AprSun1)=4),AprSun1, "")</f>
        <v/>
      </c>
      <c r="C3" s="5" t="str">
        <f>IF(AND(YEAR(AprSun1+1)=CalendarYear,MONTH(AprSun1+1)=4),AprSun1+1, "")</f>
        <v/>
      </c>
      <c r="D3" s="5" t="str">
        <f>IF(AND(YEAR(AprSun1+2)=CalendarYear,MONTH(AprSun1+2)=4),AprSun1+2, "")</f>
        <v/>
      </c>
      <c r="E3" s="5" t="str">
        <f>IF(AND(YEAR(AprSun1+3)=CalendarYear,MONTH(AprSun1+3)=4),AprSun1+3, "")</f>
        <v/>
      </c>
      <c r="F3" s="5" t="str">
        <f>IF(AND(YEAR(AprSun1+4)=CalendarYear,MONTH(AprSun1+4)=4),AprSun1+4, "")</f>
        <v/>
      </c>
      <c r="G3" s="5">
        <f>IF(AND(YEAR(AprSun1+5)=CalendarYear,MONTH(AprSun1+5)=4),AprSun1+5, "")</f>
        <v>42461</v>
      </c>
      <c r="H3" s="10">
        <f>IF(AND(YEAR(AprSun1+6)=CalendarYear,MONTH(AprSun1+6)=4),AprSun1+6, "")</f>
        <v>42462</v>
      </c>
    </row>
    <row r="4" spans="1:8" ht="58" customHeight="1">
      <c r="B4" s="29"/>
      <c r="C4" s="25"/>
      <c r="D4" s="26"/>
      <c r="E4" s="26"/>
      <c r="F4" s="26"/>
      <c r="G4" s="26"/>
      <c r="H4" s="30"/>
    </row>
    <row r="5" spans="1:8" ht="14" customHeight="1">
      <c r="B5" s="11">
        <f>IF(AND(YEAR(AprSun1+7)=CalendarYear,MONTH(AprSun1+7)=4),AprSun1+7, "")</f>
        <v>42463</v>
      </c>
      <c r="C5" s="5">
        <f>IF(AND(YEAR(AprSun1+8)=CalendarYear,MONTH(AprSun1+8)=4),AprSun1+8, "")</f>
        <v>42464</v>
      </c>
      <c r="D5" s="5">
        <f>IF(AND(YEAR(AprSun1+9)=CalendarYear,MONTH(AprSun1+9)=4),AprSun1+9, "")</f>
        <v>42465</v>
      </c>
      <c r="E5" s="5">
        <f>IF(AND(YEAR(AprSun1+10)=CalendarYear,MONTH(AprSun1+10)=4),AprSun1+10, "")</f>
        <v>42466</v>
      </c>
      <c r="F5" s="5">
        <f>IF(AND(YEAR(AprSun1+11)=CalendarYear,MONTH(AprSun1+11)=4),AprSun1+11, "")</f>
        <v>42467</v>
      </c>
      <c r="G5" s="5">
        <f>IF(AND(YEAR(AprSun1+12)=CalendarYear,MONTH(AprSun1+12)=4),AprSun1+12,"")</f>
        <v>42468</v>
      </c>
      <c r="H5" s="10">
        <f>IF(AND(YEAR(AprSun1+13)=CalendarYear,MONTH(AprSun1+13)=4),AprSun1+13, "")</f>
        <v>42469</v>
      </c>
    </row>
    <row r="6" spans="1:8" ht="58" customHeight="1">
      <c r="B6" s="29"/>
      <c r="C6" s="25"/>
      <c r="D6" s="26"/>
      <c r="E6" s="26"/>
      <c r="F6" s="26"/>
      <c r="G6" s="26"/>
      <c r="H6" s="30"/>
    </row>
    <row r="7" spans="1:8" ht="14" customHeight="1">
      <c r="B7" s="11">
        <f>IF(AND(YEAR(AprSun1+14)=CalendarYear,MONTH(AprSun1+14)=4),AprSun1+14, "")</f>
        <v>42470</v>
      </c>
      <c r="C7" s="5">
        <f>IF(AND(YEAR(AprSun1+15)=CalendarYear,MONTH(AprSun1+15)=4),AprSun1+15, "")</f>
        <v>42471</v>
      </c>
      <c r="D7" s="5">
        <f>IF(AND(YEAR(AprSun1+16)=CalendarYear,MONTH(AprSun1+16)=4),AprSun1+16, "")</f>
        <v>42472</v>
      </c>
      <c r="E7" s="5">
        <f>IF(AND(YEAR(AprSun1+17)=CalendarYear,MONTH(AprSun1+17)=4),AprSun1+17, "")</f>
        <v>42473</v>
      </c>
      <c r="F7" s="5">
        <f>IF(AND(YEAR(AprSun1+18)=CalendarYear,MONTH(AprSun1+18)=4),AprSun1+18, "")</f>
        <v>42474</v>
      </c>
      <c r="G7" s="5">
        <f>IF(AND(YEAR(AprSun1+19)=CalendarYear,MONTH(AprSun1+19)=4),AprSun1+19, "")</f>
        <v>42475</v>
      </c>
      <c r="H7" s="10">
        <f>IF(AND(YEAR(AprSun1+20)=CalendarYear,MONTH(AprSun1+20)=4),AprSun1+20, "")</f>
        <v>42476</v>
      </c>
    </row>
    <row r="8" spans="1:8" ht="58" customHeight="1">
      <c r="B8" s="29"/>
      <c r="C8" s="25"/>
      <c r="D8" s="26"/>
      <c r="E8" s="26"/>
      <c r="F8" s="26"/>
      <c r="G8" s="26"/>
      <c r="H8" s="30"/>
    </row>
    <row r="9" spans="1:8" ht="14" customHeight="1">
      <c r="B9" s="12">
        <f>IF(AND(YEAR(AprSun1+21)=CalendarYear,MONTH(AprSun1+21)=4),AprSun1+21, "")</f>
        <v>42477</v>
      </c>
      <c r="C9" s="6">
        <f>IF(AND(YEAR(AprSun1+22)=CalendarYear,MONTH(AprSun1+22)=4),AprSun1+22, "")</f>
        <v>42478</v>
      </c>
      <c r="D9" s="6">
        <f>IF(AND(YEAR(AprSun1+23)=CalendarYear,MONTH(AprSun1+23)=4),AprSun1+23, "")</f>
        <v>42479</v>
      </c>
      <c r="E9" s="6">
        <f>IF(AND(YEAR(AprSun1+24)=CalendarYear,MONTH(AprSun1+24)=4),AprSun1+24, "")</f>
        <v>42480</v>
      </c>
      <c r="F9" s="6">
        <f>IF(AND(YEAR(AprSun1+25)=CalendarYear,MONTH(AprSun1+25)=4),AprSun1+25, "")</f>
        <v>42481</v>
      </c>
      <c r="G9" s="6">
        <f>IF(AND(YEAR(AprSun1+26)=CalendarYear,MONTH(AprSun1+26)=4),AprSun1+26, "")</f>
        <v>42482</v>
      </c>
      <c r="H9" s="13">
        <f>IF(AND(YEAR(AprSun1+27)=CalendarYear,MONTH(AprSun1+27)=4),AprSun1+27, "")</f>
        <v>42483</v>
      </c>
    </row>
    <row r="10" spans="1:8" ht="58" customHeight="1">
      <c r="B10" s="29"/>
      <c r="C10" s="25"/>
      <c r="D10" s="26"/>
      <c r="E10" s="26"/>
      <c r="F10" s="26"/>
      <c r="G10" s="26"/>
      <c r="H10" s="30"/>
    </row>
    <row r="11" spans="1:8" ht="14" customHeight="1">
      <c r="B11" s="12">
        <f>IF(AND(YEAR(AprSun1+28)=CalendarYear,MONTH(AprSun1+28)=4),AprSun1+28, "")</f>
        <v>42484</v>
      </c>
      <c r="C11" s="6">
        <f>IF(AND(YEAR(AprSun1+29)=CalendarYear,MONTH(AprSun1+29)=4),AprSun1+29, "")</f>
        <v>42485</v>
      </c>
      <c r="D11" s="6">
        <f>IF(AND(YEAR(AprSun1+30)=CalendarYear,MONTH(AprSun1+30)=4),AprSun1+30, "")</f>
        <v>42486</v>
      </c>
      <c r="E11" s="6">
        <f>IF(AND(YEAR(AprSun1+31)=CalendarYear,MONTH(AprSun1+31)=4),AprSun1+31, "")</f>
        <v>42487</v>
      </c>
      <c r="F11" s="6">
        <f>IF(AND(YEAR(AprSun1+32)=CalendarYear,MONTH(AprSun1+32)=4),AprSun1+32, "")</f>
        <v>42488</v>
      </c>
      <c r="G11" s="6">
        <f>IF(AND(YEAR(AprSun1+33)=CalendarYear,MONTH(AprSun1+33)=4),AprSun1+33, "")</f>
        <v>42489</v>
      </c>
      <c r="H11" s="13">
        <f>IF(AND(YEAR(AprSun1+34)=CalendarYear,MONTH(AprSun1+34)=4),AprSun1+34, "")</f>
        <v>42490</v>
      </c>
    </row>
    <row r="12" spans="1:8" ht="58" customHeight="1">
      <c r="B12" s="29"/>
      <c r="C12" s="25"/>
      <c r="D12" s="26"/>
      <c r="E12" s="26"/>
      <c r="F12" s="25"/>
      <c r="G12" s="25"/>
      <c r="H12" s="30"/>
    </row>
    <row r="13" spans="1:8" ht="14" customHeight="1">
      <c r="B13" s="12" t="str">
        <f>IF(AND(YEAR(AprSun1+35)=CalendarYear,MONTH(AprSun1+35)=4),AprSun1+35, "")</f>
        <v/>
      </c>
      <c r="C13" s="137" t="s">
        <v>9</v>
      </c>
      <c r="D13" s="137"/>
      <c r="E13" s="137"/>
      <c r="F13" s="137"/>
      <c r="G13" s="137"/>
      <c r="H13" s="138"/>
    </row>
    <row r="14" spans="1:8" ht="58" customHeight="1" thickBot="1">
      <c r="B14" s="31"/>
      <c r="C14" s="134"/>
      <c r="D14" s="135"/>
      <c r="E14" s="135"/>
      <c r="F14" s="135"/>
      <c r="G14" s="135"/>
      <c r="H14" s="136"/>
    </row>
    <row r="16" spans="1:8">
      <c r="B16" s="34" t="s">
        <v>14</v>
      </c>
    </row>
    <row r="17" spans="2:2">
      <c r="B17" s="21" t="s">
        <v>12</v>
      </c>
    </row>
    <row r="18" spans="2:2">
      <c r="B18" s="21" t="s">
        <v>15</v>
      </c>
    </row>
    <row r="19" spans="2:2">
      <c r="B19" s="21" t="s">
        <v>16</v>
      </c>
    </row>
    <row r="20" spans="2:2">
      <c r="B20" s="21" t="s">
        <v>17</v>
      </c>
    </row>
    <row r="21" spans="2:2">
      <c r="B21" s="21" t="s">
        <v>18</v>
      </c>
    </row>
  </sheetData>
  <mergeCells count="3">
    <mergeCell ref="B1:H1"/>
    <mergeCell ref="C13:H13"/>
    <mergeCell ref="C14:H14"/>
  </mergeCells>
  <phoneticPr fontId="2" type="noConversion"/>
  <printOptions horizont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Jul</vt:lpstr>
      <vt:lpstr>Lookup List</vt:lpstr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Emmer, Mary C.</cp:lastModifiedBy>
  <cp:lastPrinted>2016-09-12T16:50:00Z</cp:lastPrinted>
  <dcterms:created xsi:type="dcterms:W3CDTF">2001-05-02T15:52:45Z</dcterms:created>
  <dcterms:modified xsi:type="dcterms:W3CDTF">2016-10-07T21:16:41Z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TC102851621033</vt:lpwstr>
  </property>
</Properties>
</file>